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6255" tabRatio="833" activeTab="1"/>
  </bookViews>
  <sheets>
    <sheet name="1.Raw material purchasing cost" sheetId="2" r:id="rId1"/>
    <sheet name="1.1Only for agro-pellet product" sheetId="12" r:id="rId2"/>
    <sheet name="2.Pretreatment costs" sheetId="5" r:id="rId3"/>
    <sheet name="3.Personnel costs" sheetId="6" r:id="rId4"/>
    <sheet name="4.Production cost" sheetId="7" r:id="rId5"/>
    <sheet name="5.Investment" sheetId="1" r:id="rId6"/>
    <sheet name="6.Minimun profit" sheetId="9" r:id="rId7"/>
    <sheet name="7.Minimum selling price" sheetId="8" r:id="rId8"/>
    <sheet name="8.Evaluation of competitiveness" sheetId="11" r:id="rId9"/>
    <sheet name="9.Profit" sheetId="4" r:id="rId10"/>
  </sheets>
  <definedNames>
    <definedName name="_ftnref1" localSheetId="0">'1.Raw material purchasing cost'!#REF!</definedName>
  </definedNames>
  <calcPr calcId="145621"/>
</workbook>
</file>

<file path=xl/calcChain.xml><?xml version="1.0" encoding="utf-8"?>
<calcChain xmlns="http://schemas.openxmlformats.org/spreadsheetml/2006/main">
  <c r="N12" i="4" l="1"/>
  <c r="N11" i="4"/>
  <c r="N10" i="4"/>
  <c r="M12" i="4"/>
  <c r="M11" i="4"/>
  <c r="M10" i="4"/>
  <c r="L12" i="4"/>
  <c r="L11" i="4"/>
  <c r="L10" i="4"/>
  <c r="K12" i="4"/>
  <c r="K11" i="4"/>
  <c r="K10" i="4"/>
  <c r="J12" i="4"/>
  <c r="J11" i="4"/>
  <c r="J10" i="4"/>
  <c r="I12" i="4"/>
  <c r="I11" i="4"/>
  <c r="I10" i="4"/>
  <c r="H12" i="4"/>
  <c r="H11" i="4"/>
  <c r="H10" i="4"/>
  <c r="G12" i="4"/>
  <c r="G11" i="4"/>
  <c r="G10" i="4"/>
  <c r="F12" i="4"/>
  <c r="F11" i="4"/>
  <c r="F10" i="4"/>
  <c r="E12" i="4"/>
  <c r="E11" i="4"/>
  <c r="D11" i="4"/>
  <c r="D12" i="4"/>
  <c r="E10" i="4"/>
  <c r="D10" i="4"/>
  <c r="D21" i="4" s="1"/>
  <c r="I37" i="11"/>
  <c r="I35" i="11"/>
  <c r="F11" i="5" l="1"/>
  <c r="G63" i="5"/>
  <c r="G62" i="5"/>
  <c r="G61" i="5"/>
  <c r="G60" i="5"/>
  <c r="G59" i="5"/>
  <c r="G58" i="5"/>
  <c r="H6" i="12"/>
  <c r="E6" i="12"/>
  <c r="F37" i="12"/>
  <c r="F36" i="12"/>
  <c r="F35" i="12"/>
  <c r="F34" i="12"/>
  <c r="F33" i="12"/>
  <c r="F32" i="12"/>
  <c r="M16" i="12"/>
  <c r="M17" i="12"/>
  <c r="M18" i="12"/>
  <c r="M19" i="12"/>
  <c r="M20" i="12"/>
  <c r="M21" i="12"/>
  <c r="M22" i="12"/>
  <c r="M23" i="12"/>
  <c r="M24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G16" i="12"/>
  <c r="G17" i="12"/>
  <c r="G18" i="12"/>
  <c r="G19" i="12"/>
  <c r="G20" i="12"/>
  <c r="G21" i="12"/>
  <c r="G22" i="12"/>
  <c r="G23" i="12"/>
  <c r="G24" i="12"/>
  <c r="L11" i="12" l="1"/>
  <c r="K11" i="12"/>
  <c r="H11" i="12"/>
  <c r="J11" i="12" s="1"/>
  <c r="E11" i="12"/>
  <c r="F11" i="12"/>
  <c r="N16" i="12" l="1"/>
  <c r="N17" i="12"/>
  <c r="N18" i="12"/>
  <c r="N19" i="12"/>
  <c r="N20" i="12"/>
  <c r="N21" i="12"/>
  <c r="N22" i="12"/>
  <c r="N23" i="12"/>
  <c r="N9" i="12"/>
  <c r="G15" i="12"/>
  <c r="G14" i="12"/>
  <c r="G13" i="12"/>
  <c r="G12" i="12"/>
  <c r="G10" i="12"/>
  <c r="M15" i="12"/>
  <c r="M14" i="12"/>
  <c r="M13" i="12"/>
  <c r="M12" i="12"/>
  <c r="M11" i="12"/>
  <c r="G11" i="12"/>
  <c r="M10" i="12"/>
  <c r="N15" i="12" l="1"/>
  <c r="N14" i="12"/>
  <c r="N13" i="12"/>
  <c r="N12" i="12"/>
  <c r="N10" i="12"/>
  <c r="N11" i="12"/>
  <c r="F25" i="5"/>
  <c r="F61" i="5" s="1"/>
  <c r="I25" i="5"/>
  <c r="E20" i="6"/>
  <c r="E9" i="4"/>
  <c r="F9" i="4" s="1"/>
  <c r="G9" i="4" s="1"/>
  <c r="H9" i="4" s="1"/>
  <c r="I9" i="4" s="1"/>
  <c r="J9" i="4" s="1"/>
  <c r="K9" i="4" s="1"/>
  <c r="L9" i="4" s="1"/>
  <c r="M9" i="4" s="1"/>
  <c r="N9" i="4" s="1"/>
  <c r="F8" i="4"/>
  <c r="G8" i="4" s="1"/>
  <c r="H8" i="4" s="1"/>
  <c r="I8" i="4" s="1"/>
  <c r="J8" i="4" s="1"/>
  <c r="K8" i="4" s="1"/>
  <c r="L8" i="4" s="1"/>
  <c r="M8" i="4" s="1"/>
  <c r="N8" i="4" s="1"/>
  <c r="H63" i="5" l="1"/>
  <c r="H69" i="5"/>
  <c r="H58" i="5"/>
  <c r="H60" i="5"/>
  <c r="H62" i="5"/>
  <c r="H65" i="5"/>
  <c r="H67" i="5"/>
  <c r="H68" i="5"/>
  <c r="H70" i="5"/>
  <c r="H59" i="5"/>
  <c r="H66" i="5"/>
  <c r="H61" i="5"/>
  <c r="E12" i="1"/>
  <c r="E11" i="1"/>
  <c r="C64" i="5" l="1"/>
  <c r="C27" i="11"/>
  <c r="C11" i="11"/>
  <c r="E11" i="6"/>
  <c r="C57" i="5"/>
  <c r="E39" i="5"/>
  <c r="D39" i="5"/>
  <c r="E28" i="5"/>
  <c r="D28" i="5"/>
  <c r="G23" i="5"/>
  <c r="D23" i="5"/>
  <c r="D11" i="5"/>
  <c r="F16" i="11"/>
  <c r="F17" i="11"/>
  <c r="F18" i="11"/>
  <c r="F15" i="11"/>
  <c r="E70" i="5" l="1"/>
  <c r="E66" i="5"/>
  <c r="E61" i="5"/>
  <c r="I61" i="5" s="1"/>
  <c r="E62" i="5"/>
  <c r="I62" i="5" s="1"/>
  <c r="E69" i="5"/>
  <c r="E65" i="5"/>
  <c r="E60" i="5"/>
  <c r="I60" i="5" s="1"/>
  <c r="E68" i="5"/>
  <c r="E63" i="5"/>
  <c r="I63" i="5" s="1"/>
  <c r="E59" i="5"/>
  <c r="I59" i="5" s="1"/>
  <c r="E67" i="5"/>
  <c r="E58" i="5"/>
  <c r="I58" i="5" s="1"/>
  <c r="J16" i="11"/>
  <c r="J17" i="11"/>
  <c r="J18" i="11"/>
  <c r="J15" i="11"/>
  <c r="F29" i="6" l="1"/>
  <c r="G29" i="6"/>
  <c r="E29" i="6"/>
  <c r="H29" i="6" l="1"/>
  <c r="E10" i="1"/>
  <c r="E13" i="1" s="1"/>
  <c r="F11" i="11"/>
  <c r="G11" i="11" s="1"/>
  <c r="E15" i="4" l="1"/>
  <c r="D27" i="11"/>
  <c r="C11" i="8"/>
  <c r="H11" i="8"/>
  <c r="D11" i="8"/>
  <c r="F15" i="4" l="1"/>
  <c r="N15" i="4"/>
  <c r="M15" i="4"/>
  <c r="L15" i="4"/>
  <c r="K15" i="4"/>
  <c r="J15" i="4"/>
  <c r="I15" i="4"/>
  <c r="H15" i="4"/>
  <c r="G15" i="4"/>
  <c r="E16" i="4"/>
  <c r="G11" i="8"/>
  <c r="H27" i="11"/>
  <c r="E19" i="4" s="1"/>
  <c r="L19" i="4" l="1"/>
  <c r="H19" i="4"/>
  <c r="M19" i="4"/>
  <c r="I19" i="4"/>
  <c r="N19" i="4"/>
  <c r="J19" i="4"/>
  <c r="F19" i="4"/>
  <c r="K19" i="4"/>
  <c r="G19" i="4"/>
  <c r="F16" i="4"/>
  <c r="N16" i="4"/>
  <c r="M16" i="4"/>
  <c r="L16" i="4"/>
  <c r="K16" i="4"/>
  <c r="J16" i="4"/>
  <c r="I16" i="4"/>
  <c r="H16" i="4"/>
  <c r="G16" i="4"/>
  <c r="C11" i="7"/>
  <c r="F11" i="7" l="1"/>
  <c r="D22" i="4" l="1"/>
  <c r="E13" i="2"/>
  <c r="D63" i="5" s="1"/>
  <c r="J63" i="5" s="1"/>
  <c r="L13" i="2" l="1"/>
  <c r="H13" i="2"/>
  <c r="D61" i="5" s="1"/>
  <c r="J61" i="5" s="1"/>
  <c r="J13" i="2"/>
  <c r="D62" i="5" s="1"/>
  <c r="J62" i="5" s="1"/>
  <c r="N15" i="2"/>
  <c r="D58" i="5" l="1"/>
  <c r="J58" i="5" s="1"/>
  <c r="D60" i="5"/>
  <c r="J60" i="5" s="1"/>
  <c r="D59" i="5"/>
  <c r="J59" i="5" s="1"/>
  <c r="E14" i="2"/>
  <c r="D70" i="5" s="1"/>
  <c r="G70" i="5" s="1"/>
  <c r="I70" i="5" s="1"/>
  <c r="J70" i="5" s="1"/>
  <c r="J14" i="2" l="1"/>
  <c r="D69" i="5" s="1"/>
  <c r="G69" i="5" s="1"/>
  <c r="I69" i="5" s="1"/>
  <c r="J69" i="5" s="1"/>
  <c r="H14" i="2"/>
  <c r="D68" i="5" s="1"/>
  <c r="L14" i="2"/>
  <c r="E15" i="2"/>
  <c r="D65" i="5" l="1"/>
  <c r="G65" i="5" s="1"/>
  <c r="I65" i="5" s="1"/>
  <c r="J65" i="5" s="1"/>
  <c r="D67" i="5"/>
  <c r="G67" i="5" s="1"/>
  <c r="I67" i="5" s="1"/>
  <c r="J67" i="5" s="1"/>
  <c r="D66" i="5"/>
  <c r="G66" i="5" s="1"/>
  <c r="I66" i="5" s="1"/>
  <c r="J66" i="5" s="1"/>
  <c r="G68" i="5"/>
  <c r="F68" i="5"/>
  <c r="I68" i="5" s="1"/>
  <c r="J68" i="5" s="1"/>
  <c r="O14" i="2"/>
  <c r="O13" i="2"/>
  <c r="L15" i="2"/>
  <c r="O15" i="2" l="1"/>
  <c r="D11" i="7" s="1"/>
  <c r="E13" i="4" l="1"/>
  <c r="F13" i="4" l="1"/>
  <c r="N13" i="4"/>
  <c r="M13" i="4"/>
  <c r="L13" i="4"/>
  <c r="K13" i="4"/>
  <c r="J13" i="4"/>
  <c r="I13" i="4"/>
  <c r="H13" i="4"/>
  <c r="G13" i="4"/>
  <c r="J71" i="5" l="1"/>
  <c r="E14" i="4" l="1"/>
  <c r="E11" i="7"/>
  <c r="N14" i="4" l="1"/>
  <c r="J14" i="4"/>
  <c r="J21" i="4" s="1"/>
  <c r="J26" i="4" s="1"/>
  <c r="F14" i="4"/>
  <c r="F21" i="4" s="1"/>
  <c r="F26" i="4" s="1"/>
  <c r="K14" i="4"/>
  <c r="G14" i="4"/>
  <c r="G21" i="4" s="1"/>
  <c r="G26" i="4" s="1"/>
  <c r="L14" i="4"/>
  <c r="H14" i="4"/>
  <c r="H21" i="4" s="1"/>
  <c r="H26" i="4" s="1"/>
  <c r="M14" i="4"/>
  <c r="I14" i="4"/>
  <c r="I21" i="4" s="1"/>
  <c r="I26" i="4" s="1"/>
  <c r="E21" i="4"/>
  <c r="G11" i="7"/>
  <c r="K9" i="7" s="1"/>
  <c r="F22" i="4" l="1"/>
  <c r="I22" i="4"/>
  <c r="J22" i="4"/>
  <c r="E22" i="4"/>
  <c r="C27" i="4" s="1"/>
  <c r="H22" i="4"/>
  <c r="E26" i="4"/>
  <c r="G22" i="4"/>
  <c r="L9" i="7"/>
  <c r="J9" i="7"/>
  <c r="E11" i="8"/>
  <c r="I11" i="8" s="1"/>
  <c r="K21" i="4"/>
  <c r="K26" i="4" s="1"/>
  <c r="F27" i="11" l="1"/>
  <c r="G27" i="11" s="1"/>
  <c r="H11" i="11"/>
  <c r="K22" i="4"/>
  <c r="L21" i="4"/>
  <c r="L22" i="4" l="1"/>
  <c r="L26" i="4"/>
  <c r="I27" i="11"/>
  <c r="J27" i="11"/>
  <c r="M21" i="4"/>
  <c r="M26" i="4" s="1"/>
  <c r="M22" i="4" l="1"/>
  <c r="N21" i="4"/>
  <c r="N22" i="4" l="1"/>
  <c r="N26" i="4"/>
  <c r="C24" i="4"/>
  <c r="C25" i="4"/>
</calcChain>
</file>

<file path=xl/comments1.xml><?xml version="1.0" encoding="utf-8"?>
<comments xmlns="http://schemas.openxmlformats.org/spreadsheetml/2006/main">
  <authors>
    <author>rivera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rivera:</t>
        </r>
        <r>
          <rPr>
            <sz val="9"/>
            <color indexed="81"/>
            <rFont val="Tahoma"/>
            <family val="2"/>
          </rPr>
          <t xml:space="preserve">
Include as much scenarios as necessary according to the type of the raw material,  the quality and the format of the final product, etc.</t>
        </r>
      </text>
    </comment>
  </commentList>
</comments>
</file>

<file path=xl/comments2.xml><?xml version="1.0" encoding="utf-8"?>
<comments xmlns="http://schemas.openxmlformats.org/spreadsheetml/2006/main">
  <authors>
    <author>Eva López Hernandez</author>
  </authors>
  <commentList>
    <comment ref="G9" authorId="0">
      <text>
        <r>
          <rPr>
            <b/>
            <sz val="9"/>
            <color indexed="81"/>
            <rFont val="Tahoma"/>
            <charset val="1"/>
          </rPr>
          <t>Eva López Hernandez:</t>
        </r>
        <r>
          <rPr>
            <sz val="9"/>
            <color indexed="81"/>
            <rFont val="Tahoma"/>
            <charset val="1"/>
          </rPr>
          <t xml:space="preserve">
Play with the percentages to achieve a mixture that fulfill the requirements of agro-pellets Type A or B</t>
        </r>
      </text>
    </comment>
    <comment ref="N9" authorId="0">
      <text>
        <r>
          <rPr>
            <b/>
            <sz val="9"/>
            <color indexed="81"/>
            <rFont val="Tahoma"/>
            <family val="2"/>
          </rPr>
          <t>Eva López Hernandez:</t>
        </r>
        <r>
          <rPr>
            <sz val="9"/>
            <color indexed="81"/>
            <rFont val="Tahoma"/>
            <family val="2"/>
          </rPr>
          <t xml:space="preserve">
This has to be 100 %</t>
        </r>
      </text>
    </comment>
  </commentList>
</comments>
</file>

<file path=xl/comments3.xml><?xml version="1.0" encoding="utf-8"?>
<comments xmlns="http://schemas.openxmlformats.org/spreadsheetml/2006/main">
  <authors>
    <author>rivera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rivera:</t>
        </r>
        <r>
          <rPr>
            <sz val="9"/>
            <color indexed="81"/>
            <rFont val="Tahoma"/>
            <family val="2"/>
          </rPr>
          <t xml:space="preserve">
Include </t>
        </r>
        <r>
          <rPr>
            <b/>
            <sz val="9"/>
            <color indexed="81"/>
            <rFont val="Tahoma"/>
            <family val="2"/>
          </rPr>
          <t>only</t>
        </r>
        <r>
          <rPr>
            <sz val="9"/>
            <color indexed="81"/>
            <rFont val="Tahoma"/>
            <family val="2"/>
          </rPr>
          <t xml:space="preserve"> the </t>
        </r>
        <r>
          <rPr>
            <b/>
            <sz val="9"/>
            <color indexed="81"/>
            <rFont val="Tahoma"/>
            <family val="2"/>
          </rPr>
          <t>operations needed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each kind of raw material</t>
        </r>
        <r>
          <rPr>
            <sz val="9"/>
            <color indexed="81"/>
            <rFont val="Tahoma"/>
            <family val="2"/>
          </rPr>
          <t>. Delete the rest of them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rivera:</t>
        </r>
        <r>
          <rPr>
            <sz val="9"/>
            <color indexed="81"/>
            <rFont val="Tahoma"/>
            <family val="2"/>
          </rPr>
          <t xml:space="preserve">
Include </t>
        </r>
        <r>
          <rPr>
            <b/>
            <sz val="9"/>
            <color indexed="81"/>
            <rFont val="Tahoma"/>
            <family val="2"/>
          </rPr>
          <t>only</t>
        </r>
        <r>
          <rPr>
            <sz val="9"/>
            <color indexed="81"/>
            <rFont val="Tahoma"/>
            <family val="2"/>
          </rPr>
          <t xml:space="preserve"> the </t>
        </r>
        <r>
          <rPr>
            <b/>
            <sz val="9"/>
            <color indexed="81"/>
            <rFont val="Tahoma"/>
            <family val="2"/>
          </rPr>
          <t>operations with fuel consumption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rivera:</t>
        </r>
        <r>
          <rPr>
            <sz val="9"/>
            <color indexed="81"/>
            <rFont val="Tahoma"/>
            <family val="2"/>
          </rPr>
          <t xml:space="preserve">
Include </t>
        </r>
        <r>
          <rPr>
            <b/>
            <sz val="9"/>
            <color indexed="81"/>
            <rFont val="Tahoma"/>
            <family val="2"/>
          </rPr>
          <t>only</t>
        </r>
        <r>
          <rPr>
            <sz val="9"/>
            <color indexed="81"/>
            <rFont val="Tahoma"/>
            <family val="2"/>
          </rPr>
          <t xml:space="preserve"> the </t>
        </r>
        <r>
          <rPr>
            <b/>
            <sz val="9"/>
            <color indexed="81"/>
            <rFont val="Tahoma"/>
            <family val="2"/>
          </rPr>
          <t>operations</t>
        </r>
        <r>
          <rPr>
            <sz val="9"/>
            <color indexed="81"/>
            <rFont val="Tahoma"/>
            <family val="2"/>
          </rPr>
          <t xml:space="preserve"> with </t>
        </r>
        <r>
          <rPr>
            <b/>
            <sz val="9"/>
            <color indexed="81"/>
            <rFont val="Tahoma"/>
            <family val="2"/>
          </rPr>
          <t>electricity consumption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rivera:</t>
        </r>
        <r>
          <rPr>
            <sz val="9"/>
            <color indexed="81"/>
            <rFont val="Tahoma"/>
            <family val="2"/>
          </rPr>
          <t xml:space="preserve">
Include </t>
        </r>
        <r>
          <rPr>
            <b/>
            <sz val="9"/>
            <color indexed="81"/>
            <rFont val="Tahoma"/>
            <family val="2"/>
          </rPr>
          <t>only</t>
        </r>
        <r>
          <rPr>
            <sz val="9"/>
            <color indexed="81"/>
            <rFont val="Tahoma"/>
            <family val="2"/>
          </rPr>
          <t xml:space="preserve"> the </t>
        </r>
        <r>
          <rPr>
            <b/>
            <sz val="9"/>
            <color indexed="81"/>
            <rFont val="Tahoma"/>
            <family val="2"/>
          </rPr>
          <t>operations</t>
        </r>
        <r>
          <rPr>
            <sz val="9"/>
            <color indexed="81"/>
            <rFont val="Tahoma"/>
            <family val="2"/>
          </rPr>
          <t xml:space="preserve"> which an </t>
        </r>
        <r>
          <rPr>
            <b/>
            <sz val="9"/>
            <color indexed="81"/>
            <rFont val="Tahoma"/>
            <family val="2"/>
          </rPr>
          <t>operator is needed to manage it.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rivera:</t>
        </r>
        <r>
          <rPr>
            <sz val="9"/>
            <color indexed="81"/>
            <rFont val="Tahoma"/>
            <family val="2"/>
          </rPr>
          <t xml:space="preserve">Include only the </t>
        </r>
        <r>
          <rPr>
            <b/>
            <sz val="9"/>
            <color indexed="81"/>
            <rFont val="Tahoma"/>
            <family val="2"/>
          </rPr>
          <t>operations needed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each kind of raw material</t>
        </r>
        <r>
          <rPr>
            <sz val="9"/>
            <color indexed="81"/>
            <rFont val="Tahoma"/>
            <family val="2"/>
          </rPr>
          <t xml:space="preserve">. 
Delete the rest of them
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rivera:</t>
        </r>
        <r>
          <rPr>
            <sz val="9"/>
            <color indexed="81"/>
            <rFont val="Tahoma"/>
            <family val="2"/>
          </rPr>
          <t>Include</t>
        </r>
        <r>
          <rPr>
            <b/>
            <sz val="9"/>
            <color indexed="81"/>
            <rFont val="Tahoma"/>
            <family val="2"/>
          </rPr>
          <t xml:space="preserve"> only </t>
        </r>
        <r>
          <rPr>
            <sz val="9"/>
            <color indexed="81"/>
            <rFont val="Tahoma"/>
            <family val="2"/>
          </rPr>
          <t>the</t>
        </r>
        <r>
          <rPr>
            <b/>
            <sz val="9"/>
            <color indexed="81"/>
            <rFont val="Tahoma"/>
            <family val="2"/>
          </rPr>
          <t xml:space="preserve"> operations needed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each kind of raw material. 
</t>
        </r>
        <r>
          <rPr>
            <sz val="9"/>
            <color indexed="81"/>
            <rFont val="Tahoma"/>
            <family val="2"/>
          </rPr>
          <t>Delete the rest of them</t>
        </r>
      </text>
    </comment>
  </commentList>
</comments>
</file>

<file path=xl/sharedStrings.xml><?xml version="1.0" encoding="utf-8"?>
<sst xmlns="http://schemas.openxmlformats.org/spreadsheetml/2006/main" count="425" uniqueCount="224">
  <si>
    <t>Quantity</t>
  </si>
  <si>
    <t>Investment costs</t>
  </si>
  <si>
    <t>Total costs</t>
  </si>
  <si>
    <t>Investment items</t>
  </si>
  <si>
    <t>Price</t>
  </si>
  <si>
    <t>Total</t>
  </si>
  <si>
    <t>€</t>
  </si>
  <si>
    <t>Transportation cost</t>
  </si>
  <si>
    <t>Solid biomass type</t>
  </si>
  <si>
    <t>Pre-treatment type</t>
  </si>
  <si>
    <t>Drying</t>
  </si>
  <si>
    <t>Unit total costs</t>
  </si>
  <si>
    <t>Purchasing cost</t>
  </si>
  <si>
    <t>Production cost</t>
  </si>
  <si>
    <t>Sales revenue</t>
  </si>
  <si>
    <t>Year</t>
  </si>
  <si>
    <t>%</t>
  </si>
  <si>
    <t>t/yr</t>
  </si>
  <si>
    <t>€/t</t>
  </si>
  <si>
    <t>MAINTENANCE COSTS</t>
  </si>
  <si>
    <t>€/h</t>
  </si>
  <si>
    <t xml:space="preserve">Mixture </t>
  </si>
  <si>
    <t>Quantity produced</t>
  </si>
  <si>
    <t>PRE-TREATMENT COSTS</t>
  </si>
  <si>
    <t>COMPETITORS</t>
  </si>
  <si>
    <t>Payback</t>
  </si>
  <si>
    <t>Personnel cost</t>
  </si>
  <si>
    <t>Expected annual production</t>
  </si>
  <si>
    <t>FINAL PRODUCT</t>
  </si>
  <si>
    <t>RAW MATERIAL</t>
  </si>
  <si>
    <t>Quantity for final product</t>
  </si>
  <si>
    <t xml:space="preserve">Quantity raw material </t>
  </si>
  <si>
    <t xml:space="preserve">MC raw material fresh </t>
  </si>
  <si>
    <t>Type of operation</t>
  </si>
  <si>
    <t>PREVIOUS ANALYSIS</t>
  </si>
  <si>
    <t>t</t>
  </si>
  <si>
    <t>Handling</t>
  </si>
  <si>
    <t>Particle size reduction</t>
  </si>
  <si>
    <t>Milling + pelletizing</t>
  </si>
  <si>
    <t>SCENARIO 1</t>
  </si>
  <si>
    <t xml:space="preserve">Total salary per year </t>
  </si>
  <si>
    <t>Working hours per year</t>
  </si>
  <si>
    <t>h/year</t>
  </si>
  <si>
    <t>Hourly Rate</t>
  </si>
  <si>
    <t>€/year</t>
  </si>
  <si>
    <t>1. RAW MATERIAL PURCHASING COST</t>
  </si>
  <si>
    <t>ECONOMIC FEASIBILITY STUDY</t>
  </si>
  <si>
    <t>2. PRE-TREATMENT COST</t>
  </si>
  <si>
    <t>Pre-treatment costs</t>
  </si>
  <si>
    <t>4. PRODUCTION COSTS</t>
  </si>
  <si>
    <t>Percentage of contribution (%)</t>
  </si>
  <si>
    <t>Price
€/t</t>
  </si>
  <si>
    <t>LHV
kWh/kg ar</t>
  </si>
  <si>
    <t>Ash content 
(w-%db)</t>
  </si>
  <si>
    <t>Price
€/kWh</t>
  </si>
  <si>
    <t>Product</t>
  </si>
  <si>
    <t>included</t>
  </si>
  <si>
    <t>not included</t>
  </si>
  <si>
    <t>Minimum selling price</t>
  </si>
  <si>
    <t>Type of residues</t>
  </si>
  <si>
    <t>MC: moisture content</t>
  </si>
  <si>
    <t>MC 
final product</t>
  </si>
  <si>
    <t>€/yr</t>
  </si>
  <si>
    <t>Storage of raw material</t>
  </si>
  <si>
    <t>Storage of final product</t>
  </si>
  <si>
    <t>3. PERSONNEL COSTS</t>
  </si>
  <si>
    <t>OPERATINAL COSTS: HEATING COSTS</t>
  </si>
  <si>
    <t>Maintenance cost 
€/t</t>
  </si>
  <si>
    <t>Heating cost
€/t</t>
  </si>
  <si>
    <t>Electricity cost
€/t</t>
  </si>
  <si>
    <t>Operational costs</t>
  </si>
  <si>
    <t>5. INVESTMENT</t>
  </si>
  <si>
    <t>6. MINIMUM PROFIT</t>
  </si>
  <si>
    <t>7. MINIMUM SELLING PRICE</t>
  </si>
  <si>
    <t>Minimum profit</t>
  </si>
  <si>
    <t>Amortization rate</t>
  </si>
  <si>
    <t>Years of amortization</t>
  </si>
  <si>
    <t>8. EVAUATION OF COMPETITIVENESS</t>
  </si>
  <si>
    <t>QUALITY DATA FROM THE PRODUCT</t>
  </si>
  <si>
    <t xml:space="preserve">Production cost </t>
  </si>
  <si>
    <t>Taxes
(included or not)</t>
  </si>
  <si>
    <t>SUPPORT PERSONNEL</t>
  </si>
  <si>
    <t>MARKET PRICE OF THE PRODUCT</t>
  </si>
  <si>
    <t xml:space="preserve">Product </t>
  </si>
  <si>
    <t>Minimum selling price
€/t</t>
  </si>
  <si>
    <t>Market price of the product
€/t</t>
  </si>
  <si>
    <t>Raw material purchasing costs</t>
  </si>
  <si>
    <t>Expenses (€/yr)</t>
  </si>
  <si>
    <t>Profit (€/yr)</t>
  </si>
  <si>
    <t>Accumulated profit (€/yr)</t>
  </si>
  <si>
    <t>NPV</t>
  </si>
  <si>
    <t>IRR</t>
  </si>
  <si>
    <t>ROS (%)</t>
  </si>
  <si>
    <t>Discount rate</t>
  </si>
  <si>
    <t>Quantity
t/yr</t>
  </si>
  <si>
    <t xml:space="preserve">MC 
afer storage and before drying </t>
  </si>
  <si>
    <t xml:space="preserve">Quantity 
afer storage and before drying </t>
  </si>
  <si>
    <t>MC 
after drying and before pelletising</t>
  </si>
  <si>
    <t>Quantity 
after drying and before pelletising</t>
  </si>
  <si>
    <t>Personnel</t>
  </si>
  <si>
    <t>Fuel price
€/t or €/m3</t>
  </si>
  <si>
    <t>Spent hours
h/t</t>
  </si>
  <si>
    <t>MAINTENANCE*</t>
  </si>
  <si>
    <t>OPERATIONAL*</t>
  </si>
  <si>
    <t>% spent in new business line</t>
  </si>
  <si>
    <t xml:space="preserve">GENERAL MANAGER </t>
  </si>
  <si>
    <t>SALES MANAGER</t>
  </si>
  <si>
    <t>ADMINISTRATION DEPARTMENT</t>
  </si>
  <si>
    <t>h/yr</t>
  </si>
  <si>
    <t>yr</t>
  </si>
  <si>
    <t>€/t*</t>
  </si>
  <si>
    <r>
      <t xml:space="preserve">* It should be placed the </t>
    </r>
    <r>
      <rPr>
        <b/>
        <sz val="11"/>
        <color theme="1"/>
        <rFont val="Calibri"/>
        <family val="2"/>
        <scheme val="minor"/>
      </rPr>
      <t>minimum profit</t>
    </r>
    <r>
      <rPr>
        <sz val="11"/>
        <color theme="1"/>
        <rFont val="Calibri"/>
        <family val="2"/>
        <scheme val="minor"/>
      </rPr>
      <t xml:space="preserve"> per unit of product (€/t) required by the agro-industry to start operation and cover possible risks. </t>
    </r>
  </si>
  <si>
    <t>Transport cost*</t>
  </si>
  <si>
    <t>Total revenue
€/yr</t>
  </si>
  <si>
    <t>Total profit
€/yr</t>
  </si>
  <si>
    <t>Incomes (€/yr)</t>
  </si>
  <si>
    <t>OPERATIONAL COSTS: ELECTRICITY COSTS</t>
  </si>
  <si>
    <t xml:space="preserve">OPERATIONAL COSTS: PERSONNEL </t>
  </si>
  <si>
    <t>*It should be bore in mind that the personal associated with operational and maintenance labours should be used to calculate the “Pre-treatment costs”</t>
  </si>
  <si>
    <t>Real profit for market price
€/t</t>
  </si>
  <si>
    <t>Transport
€/t</t>
  </si>
  <si>
    <t>LHV
kWh/kg db</t>
  </si>
  <si>
    <t>MC 
final product
(w-%, ar)</t>
  </si>
  <si>
    <t>Transport to consumers</t>
  </si>
  <si>
    <t xml:space="preserve">*With the purpose of comparing the final product with the competitors, sometimes the minimum selling price should also include the transport costs to the consumers. </t>
  </si>
  <si>
    <t>LHV
kWh/t ar</t>
  </si>
  <si>
    <t>Minimum selling price
€/kWh</t>
  </si>
  <si>
    <t>Personnel cost 
€/t</t>
  </si>
  <si>
    <t>Growth (per year)</t>
  </si>
  <si>
    <t>tons products per year</t>
  </si>
  <si>
    <t>Olive pit</t>
  </si>
  <si>
    <t>Wood pellets</t>
  </si>
  <si>
    <t>Olive pomace</t>
  </si>
  <si>
    <t>Wood chips</t>
  </si>
  <si>
    <t>include " type raw material"</t>
  </si>
  <si>
    <t>Resource</t>
  </si>
  <si>
    <t>LHV</t>
  </si>
  <si>
    <t>A</t>
  </si>
  <si>
    <t>(w-% db)</t>
  </si>
  <si>
    <t>Cl</t>
  </si>
  <si>
    <t xml:space="preserve">(w-% db) </t>
  </si>
  <si>
    <t>Soft wood stem</t>
  </si>
  <si>
    <t>Soft wood logging residues</t>
  </si>
  <si>
    <t>Cereal straw</t>
  </si>
  <si>
    <t>1,0-2,0</t>
  </si>
  <si>
    <t>Grape pomace</t>
  </si>
  <si>
    <t>6,0-13,0</t>
  </si>
  <si>
    <t>0,03-0,18</t>
  </si>
  <si>
    <t>13,9-19,0</t>
  </si>
  <si>
    <t>3,4-11,3</t>
  </si>
  <si>
    <t>0,1-0,4</t>
  </si>
  <si>
    <t>Olive pits</t>
  </si>
  <si>
    <t>17,3-19,3</t>
  </si>
  <si>
    <t>1,2-4,4</t>
  </si>
  <si>
    <t>0,10-0,40</t>
  </si>
  <si>
    <t>Rice husks</t>
  </si>
  <si>
    <t>14,5-16,2</t>
  </si>
  <si>
    <t>13,0-23,0</t>
  </si>
  <si>
    <t>0,03-0,30</t>
  </si>
  <si>
    <t xml:space="preserve">Corn cobs </t>
  </si>
  <si>
    <t>Rape straw</t>
  </si>
  <si>
    <t>AGROPELLETS  ISO 17 225-6 A</t>
  </si>
  <si>
    <t>AGROPELLETS ISO 17 225-6 B</t>
  </si>
  <si>
    <t>Data source</t>
  </si>
  <si>
    <t>Value</t>
  </si>
  <si>
    <t>-</t>
  </si>
  <si>
    <t>LHV Dry basis (kWh/kg)</t>
  </si>
  <si>
    <t xml:space="preserve"> -</t>
  </si>
  <si>
    <t>LHV (kWh/kg, ar)</t>
  </si>
  <si>
    <t>≥ 4</t>
  </si>
  <si>
    <t>Ash (w-% db)</t>
  </si>
  <si>
    <t>≤ 6</t>
  </si>
  <si>
    <t>≤ 10</t>
  </si>
  <si>
    <t>N  (w-% db)</t>
  </si>
  <si>
    <t>≤ 1,5</t>
  </si>
  <si>
    <t>≤ 2</t>
  </si>
  <si>
    <t>S  (w-% db)</t>
  </si>
  <si>
    <t>≤ 0,2</t>
  </si>
  <si>
    <t>≤ 0,3</t>
  </si>
  <si>
    <t>Cl  (w-% db)</t>
  </si>
  <si>
    <t>≤ 0,1</t>
  </si>
  <si>
    <t>As (mg/kg)</t>
  </si>
  <si>
    <t>≤ 1</t>
  </si>
  <si>
    <t>Cd (mg/kg)</t>
  </si>
  <si>
    <t>≤ 0,5</t>
  </si>
  <si>
    <t>Cr (mg/kg)</t>
  </si>
  <si>
    <t>≤ 50</t>
  </si>
  <si>
    <t>Cu (mg/kg)</t>
  </si>
  <si>
    <t>≤ 20</t>
  </si>
  <si>
    <t>Pb (mg/kg)</t>
  </si>
  <si>
    <t>Hg (mg/kg)</t>
  </si>
  <si>
    <t>Ni (mg/kg)</t>
  </si>
  <si>
    <t>Zn (mg/kg)</t>
  </si>
  <si>
    <t>≤ 100</t>
  </si>
  <si>
    <t>Ash Softening Temperature (°C)</t>
  </si>
  <si>
    <t>be mentionned</t>
  </si>
  <si>
    <t xml:space="preserve">% </t>
  </si>
  <si>
    <t>AVERAGE value from sample 1 and 2</t>
  </si>
  <si>
    <t>Quality sample 1</t>
  </si>
  <si>
    <t>Quality sample 2</t>
  </si>
  <si>
    <t>Resource 3</t>
  </si>
  <si>
    <t>AGRO-PELLET AVERAGE VALUES</t>
  </si>
  <si>
    <t>COMPARE</t>
  </si>
  <si>
    <t>MC final pellet</t>
  </si>
  <si>
    <t>1.1 ONLY FOR AGRO-PELLET PRODUCT</t>
  </si>
  <si>
    <r>
      <t xml:space="preserve">AVERAGE VALUES OF RESOURCES according to the standard: </t>
    </r>
    <r>
      <rPr>
        <b/>
        <i/>
        <u/>
        <sz val="9"/>
        <color theme="1"/>
        <rFont val="Arial"/>
        <family val="2"/>
      </rPr>
      <t>carefull this are average values, yours can be different!</t>
    </r>
  </si>
  <si>
    <t>(MJ/kg db)</t>
  </si>
  <si>
    <t>(kWh/kg db)</t>
  </si>
  <si>
    <t>Horas gastadas en mantenimiento
h/t</t>
  </si>
  <si>
    <t>Costes de reposición
€/t</t>
  </si>
  <si>
    <t>Fuel 
consumption
t or m3/t of material at the inlet</t>
  </si>
  <si>
    <t>Heating costs
€/t</t>
  </si>
  <si>
    <t>Electricity costs
€/t</t>
  </si>
  <si>
    <t>Include "Target Solid biomass type"</t>
  </si>
  <si>
    <t>"include investment_1"</t>
  </si>
  <si>
    <t>"include investment_2"</t>
  </si>
  <si>
    <t>"include investment_3"</t>
  </si>
  <si>
    <t>LHV (MJ/kg bs)</t>
  </si>
  <si>
    <t>LHV (kcal/kg bs)</t>
  </si>
  <si>
    <t>LHV (kWh/kg bs)</t>
  </si>
  <si>
    <t>Investment costs_1</t>
  </si>
  <si>
    <t>Investment costs_2</t>
  </si>
  <si>
    <t>Investment costs_3</t>
  </si>
  <si>
    <t>9.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</si>
</sst>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,##0.0"/>
    <numFmt numFmtId="166" formatCode="0.000"/>
    <numFmt numFmtId="167" formatCode="#,##0.000000"/>
    <numFmt numFmtId="168" formatCode="0.0000"/>
    <numFmt numFmtId="169" formatCode="#,##0.0000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trike/>
      <sz val="11"/>
      <color theme="1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1"/>
      <color rgb="FFFFFF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6"/>
      <color theme="0" tint="-0.34998626667073579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9"/>
      <color rgb="FF5F4C3F"/>
      <name val="Arial"/>
      <family val="2"/>
    </font>
    <font>
      <sz val="9"/>
      <color rgb="FF5F4C3F"/>
      <name val="Arial"/>
      <family val="2"/>
    </font>
    <font>
      <b/>
      <i/>
      <u/>
      <sz val="9"/>
      <color theme="1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F0D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5A5A5"/>
      </patternFill>
    </fill>
    <fill>
      <patternFill patternType="solid">
        <fgColor theme="0" tint="-0.24994659260841701"/>
        <bgColor theme="0" tint="-0.1498764000366222"/>
      </patternFill>
    </fill>
    <fill>
      <patternFill patternType="solid">
        <fgColor rgb="FFD7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rgb="FFDDD9C3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ck">
        <color auto="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/>
      <right/>
      <top/>
      <bottom style="hair">
        <color theme="6" tint="-0.499984740745262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medium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37" applyNumberFormat="0" applyFill="0" applyAlignment="0" applyProtection="0"/>
    <xf numFmtId="0" fontId="24" fillId="9" borderId="38" applyNumberFormat="0" applyAlignment="0" applyProtection="0"/>
  </cellStyleXfs>
  <cellXfs count="583">
    <xf numFmtId="0" fontId="0" fillId="0" borderId="0" xfId="0"/>
    <xf numFmtId="3" fontId="6" fillId="0" borderId="0" xfId="0" applyNumberFormat="1" applyFont="1"/>
    <xf numFmtId="3" fontId="0" fillId="0" borderId="0" xfId="0" applyNumberFormat="1"/>
    <xf numFmtId="3" fontId="4" fillId="0" borderId="6" xfId="0" applyNumberFormat="1" applyFont="1" applyFill="1" applyBorder="1" applyAlignment="1">
      <alignment horizontal="right" vertical="center" wrapText="1"/>
    </xf>
    <xf numFmtId="3" fontId="6" fillId="0" borderId="6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Fill="1"/>
    <xf numFmtId="3" fontId="11" fillId="0" borderId="0" xfId="0" applyNumberFormat="1" applyFont="1"/>
    <xf numFmtId="3" fontId="4" fillId="0" borderId="6" xfId="0" applyNumberFormat="1" applyFont="1" applyFill="1" applyBorder="1" applyAlignment="1">
      <alignment horizontal="justify" vertical="center" wrapText="1"/>
    </xf>
    <xf numFmtId="0" fontId="3" fillId="0" borderId="0" xfId="0" applyFont="1" applyFill="1" applyProtection="1"/>
    <xf numFmtId="0" fontId="11" fillId="0" borderId="0" xfId="0" applyFont="1"/>
    <xf numFmtId="0" fontId="8" fillId="2" borderId="0" xfId="0" applyFont="1" applyFill="1" applyBorder="1"/>
    <xf numFmtId="3" fontId="4" fillId="0" borderId="4" xfId="0" applyNumberFormat="1" applyFont="1" applyFill="1" applyBorder="1" applyAlignment="1">
      <alignment vertical="center" wrapText="1"/>
    </xf>
    <xf numFmtId="0" fontId="14" fillId="0" borderId="18" xfId="0" applyFont="1" applyFill="1" applyBorder="1"/>
    <xf numFmtId="0" fontId="14" fillId="0" borderId="19" xfId="0" applyFont="1" applyFill="1" applyBorder="1"/>
    <xf numFmtId="3" fontId="6" fillId="0" borderId="19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3" fontId="13" fillId="0" borderId="6" xfId="0" applyNumberFormat="1" applyFont="1" applyFill="1" applyBorder="1" applyAlignment="1">
      <alignment horizontal="right" vertical="center" wrapText="1"/>
    </xf>
    <xf numFmtId="0" fontId="19" fillId="0" borderId="0" xfId="0" applyFont="1"/>
    <xf numFmtId="3" fontId="20" fillId="0" borderId="14" xfId="2" applyNumberFormat="1" applyFont="1" applyFill="1" applyBorder="1" applyAlignment="1" applyProtection="1">
      <alignment horizontal="center" vertical="center" wrapText="1"/>
      <protection hidden="1"/>
    </xf>
    <xf numFmtId="3" fontId="11" fillId="3" borderId="0" xfId="0" applyNumberFormat="1" applyFont="1" applyFill="1"/>
    <xf numFmtId="0" fontId="12" fillId="0" borderId="0" xfId="2" applyFont="1" applyFill="1" applyBorder="1" applyAlignment="1" applyProtection="1">
      <alignment vertical="center"/>
      <protection hidden="1"/>
    </xf>
    <xf numFmtId="3" fontId="12" fillId="0" borderId="0" xfId="2" applyNumberFormat="1" applyFont="1" applyFill="1" applyBorder="1" applyAlignment="1" applyProtection="1">
      <alignment horizontal="right" vertical="center" shrinkToFit="1"/>
    </xf>
    <xf numFmtId="0" fontId="11" fillId="0" borderId="0" xfId="0" applyFont="1" applyAlignment="1">
      <alignment horizontal="right"/>
    </xf>
    <xf numFmtId="3" fontId="6" fillId="3" borderId="0" xfId="0" applyNumberFormat="1" applyFont="1" applyFill="1" applyBorder="1"/>
    <xf numFmtId="3" fontId="5" fillId="3" borderId="0" xfId="0" applyNumberFormat="1" applyFont="1" applyFill="1" applyBorder="1" applyAlignment="1">
      <alignment horizontal="left" vertical="center" wrapText="1"/>
    </xf>
    <xf numFmtId="4" fontId="5" fillId="3" borderId="0" xfId="0" applyNumberFormat="1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3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4" fontId="16" fillId="3" borderId="0" xfId="0" applyNumberFormat="1" applyFont="1" applyFill="1" applyBorder="1"/>
    <xf numFmtId="3" fontId="11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21" fillId="3" borderId="0" xfId="0" applyNumberFormat="1" applyFont="1" applyFill="1" applyAlignment="1">
      <alignment horizontal="center"/>
    </xf>
    <xf numFmtId="164" fontId="2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0" fontId="7" fillId="5" borderId="6" xfId="0" applyFont="1" applyFill="1" applyBorder="1"/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11" fillId="0" borderId="22" xfId="0" applyFont="1" applyBorder="1"/>
    <xf numFmtId="0" fontId="7" fillId="5" borderId="23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3" fontId="16" fillId="0" borderId="27" xfId="0" applyNumberFormat="1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11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4" xfId="0" applyFont="1" applyBorder="1"/>
    <xf numFmtId="0" fontId="7" fillId="6" borderId="29" xfId="0" applyFont="1" applyFill="1" applyBorder="1" applyAlignment="1">
      <alignment horizontal="center" vertical="center" wrapText="1"/>
    </xf>
    <xf numFmtId="0" fontId="14" fillId="0" borderId="29" xfId="0" applyFont="1" applyFill="1" applyBorder="1"/>
    <xf numFmtId="3" fontId="11" fillId="0" borderId="0" xfId="0" applyNumberFormat="1" applyFont="1" applyBorder="1"/>
    <xf numFmtId="0" fontId="11" fillId="0" borderId="31" xfId="0" applyFont="1" applyBorder="1"/>
    <xf numFmtId="0" fontId="11" fillId="0" borderId="32" xfId="0" applyFont="1" applyBorder="1"/>
    <xf numFmtId="0" fontId="11" fillId="0" borderId="33" xfId="0" applyFont="1" applyBorder="1"/>
    <xf numFmtId="3" fontId="11" fillId="0" borderId="33" xfId="0" applyNumberFormat="1" applyFont="1" applyBorder="1"/>
    <xf numFmtId="0" fontId="11" fillId="0" borderId="35" xfId="0" applyFont="1" applyBorder="1"/>
    <xf numFmtId="3" fontId="11" fillId="0" borderId="31" xfId="0" applyNumberFormat="1" applyFont="1" applyBorder="1"/>
    <xf numFmtId="0" fontId="26" fillId="0" borderId="0" xfId="0" applyFont="1"/>
    <xf numFmtId="0" fontId="15" fillId="4" borderId="0" xfId="0" applyFont="1" applyFill="1"/>
    <xf numFmtId="0" fontId="11" fillId="4" borderId="0" xfId="0" applyFont="1" applyFill="1"/>
    <xf numFmtId="0" fontId="4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/>
    <xf numFmtId="0" fontId="14" fillId="2" borderId="2" xfId="0" applyFont="1" applyFill="1" applyBorder="1"/>
    <xf numFmtId="0" fontId="14" fillId="2" borderId="1" xfId="0" applyFont="1" applyFill="1" applyBorder="1"/>
    <xf numFmtId="3" fontId="6" fillId="2" borderId="39" xfId="0" applyNumberFormat="1" applyFont="1" applyFill="1" applyBorder="1" applyAlignment="1">
      <alignment horizontal="center" vertical="center"/>
    </xf>
    <xf numFmtId="3" fontId="4" fillId="2" borderId="40" xfId="0" applyNumberFormat="1" applyFont="1" applyFill="1" applyBorder="1" applyAlignment="1">
      <alignment horizontal="center" vertical="center" wrapText="1"/>
    </xf>
    <xf numFmtId="3" fontId="6" fillId="0" borderId="41" xfId="0" applyNumberFormat="1" applyFont="1" applyFill="1" applyBorder="1" applyAlignment="1">
      <alignment horizontal="center" vertical="center"/>
    </xf>
    <xf numFmtId="3" fontId="6" fillId="2" borderId="42" xfId="0" applyNumberFormat="1" applyFont="1" applyFill="1" applyBorder="1" applyAlignment="1">
      <alignment horizontal="center" vertical="center"/>
    </xf>
    <xf numFmtId="3" fontId="4" fillId="2" borderId="43" xfId="0" applyNumberFormat="1" applyFont="1" applyFill="1" applyBorder="1" applyAlignment="1">
      <alignment horizontal="center" vertical="center" wrapText="1"/>
    </xf>
    <xf numFmtId="3" fontId="6" fillId="0" borderId="44" xfId="0" applyNumberFormat="1" applyFont="1" applyFill="1" applyBorder="1" applyAlignment="1">
      <alignment horizontal="center" vertical="center"/>
    </xf>
    <xf numFmtId="3" fontId="6" fillId="2" borderId="45" xfId="0" applyNumberFormat="1" applyFont="1" applyFill="1" applyBorder="1" applyAlignment="1">
      <alignment horizontal="center" vertical="center"/>
    </xf>
    <xf numFmtId="3" fontId="6" fillId="0" borderId="40" xfId="0" applyNumberFormat="1" applyFont="1" applyFill="1" applyBorder="1" applyAlignment="1">
      <alignment horizontal="center" vertical="center"/>
    </xf>
    <xf numFmtId="3" fontId="6" fillId="2" borderId="40" xfId="0" applyNumberFormat="1" applyFont="1" applyFill="1" applyBorder="1" applyAlignment="1">
      <alignment horizontal="center" vertical="center"/>
    </xf>
    <xf numFmtId="3" fontId="6" fillId="2" borderId="46" xfId="0" applyNumberFormat="1" applyFont="1" applyFill="1" applyBorder="1" applyAlignment="1">
      <alignment horizontal="center" vertical="center"/>
    </xf>
    <xf numFmtId="3" fontId="6" fillId="0" borderId="43" xfId="0" applyNumberFormat="1" applyFont="1" applyFill="1" applyBorder="1" applyAlignment="1">
      <alignment horizontal="center" vertical="center"/>
    </xf>
    <xf numFmtId="3" fontId="6" fillId="2" borderId="43" xfId="0" applyNumberFormat="1" applyFont="1" applyFill="1" applyBorder="1" applyAlignment="1">
      <alignment horizontal="center" vertical="center"/>
    </xf>
    <xf numFmtId="3" fontId="6" fillId="2" borderId="48" xfId="0" applyNumberFormat="1" applyFont="1" applyFill="1" applyBorder="1" applyAlignment="1">
      <alignment horizontal="center" vertical="center"/>
    </xf>
    <xf numFmtId="3" fontId="6" fillId="2" borderId="49" xfId="0" applyNumberFormat="1" applyFont="1" applyFill="1" applyBorder="1" applyAlignment="1">
      <alignment horizontal="center" vertical="center"/>
    </xf>
    <xf numFmtId="0" fontId="14" fillId="0" borderId="4" xfId="0" applyFont="1" applyFill="1" applyBorder="1"/>
    <xf numFmtId="3" fontId="4" fillId="2" borderId="50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 vertical="center" wrapText="1"/>
    </xf>
    <xf numFmtId="3" fontId="6" fillId="0" borderId="52" xfId="0" applyNumberFormat="1" applyFont="1" applyFill="1" applyBorder="1" applyAlignment="1">
      <alignment horizontal="center" vertical="center"/>
    </xf>
    <xf numFmtId="3" fontId="6" fillId="0" borderId="53" xfId="0" applyNumberFormat="1" applyFont="1" applyFill="1" applyBorder="1" applyAlignment="1">
      <alignment horizontal="center" vertical="center"/>
    </xf>
    <xf numFmtId="3" fontId="4" fillId="2" borderId="48" xfId="0" applyNumberFormat="1" applyFont="1" applyFill="1" applyBorder="1" applyAlignment="1">
      <alignment horizontal="center" vertical="center" wrapText="1"/>
    </xf>
    <xf numFmtId="3" fontId="4" fillId="2" borderId="49" xfId="0" applyNumberFormat="1" applyFont="1" applyFill="1" applyBorder="1" applyAlignment="1">
      <alignment horizontal="center" vertical="center" wrapText="1"/>
    </xf>
    <xf numFmtId="3" fontId="4" fillId="0" borderId="52" xfId="0" applyNumberFormat="1" applyFont="1" applyFill="1" applyBorder="1" applyAlignment="1">
      <alignment horizontal="center" vertical="center" wrapText="1"/>
    </xf>
    <xf numFmtId="3" fontId="4" fillId="0" borderId="53" xfId="0" applyNumberFormat="1" applyFont="1" applyFill="1" applyBorder="1" applyAlignment="1">
      <alignment horizontal="center" vertical="center" wrapText="1"/>
    </xf>
    <xf numFmtId="0" fontId="25" fillId="4" borderId="0" xfId="0" applyFont="1" applyFill="1"/>
    <xf numFmtId="3" fontId="11" fillId="3" borderId="0" xfId="0" applyNumberFormat="1" applyFont="1" applyFill="1" applyBorder="1"/>
    <xf numFmtId="0" fontId="11" fillId="0" borderId="31" xfId="0" applyFont="1" applyBorder="1" applyAlignment="1">
      <alignment horizontal="right"/>
    </xf>
    <xf numFmtId="3" fontId="11" fillId="3" borderId="31" xfId="0" applyNumberFormat="1" applyFont="1" applyFill="1" applyBorder="1"/>
    <xf numFmtId="0" fontId="11" fillId="0" borderId="33" xfId="0" applyFont="1" applyBorder="1" applyAlignment="1">
      <alignment horizontal="right"/>
    </xf>
    <xf numFmtId="3" fontId="11" fillId="3" borderId="33" xfId="0" applyNumberFormat="1" applyFont="1" applyFill="1" applyBorder="1"/>
    <xf numFmtId="0" fontId="8" fillId="0" borderId="67" xfId="0" applyFont="1" applyBorder="1"/>
    <xf numFmtId="0" fontId="11" fillId="0" borderId="34" xfId="0" applyFont="1" applyBorder="1"/>
    <xf numFmtId="0" fontId="11" fillId="0" borderId="36" xfId="0" applyFont="1" applyBorder="1"/>
    <xf numFmtId="0" fontId="32" fillId="2" borderId="3" xfId="0" applyFont="1" applyFill="1" applyBorder="1"/>
    <xf numFmtId="3" fontId="37" fillId="3" borderId="62" xfId="0" applyNumberFormat="1" applyFont="1" applyFill="1" applyBorder="1" applyAlignment="1">
      <alignment horizontal="right" vertical="center" wrapText="1"/>
    </xf>
    <xf numFmtId="3" fontId="37" fillId="3" borderId="63" xfId="0" applyNumberFormat="1" applyFont="1" applyFill="1" applyBorder="1" applyAlignment="1">
      <alignment horizontal="right" vertical="center" wrapText="1"/>
    </xf>
    <xf numFmtId="0" fontId="32" fillId="2" borderId="2" xfId="0" applyFont="1" applyFill="1" applyBorder="1"/>
    <xf numFmtId="0" fontId="32" fillId="2" borderId="1" xfId="0" applyFont="1" applyFill="1" applyBorder="1"/>
    <xf numFmtId="4" fontId="38" fillId="0" borderId="5" xfId="0" applyNumberFormat="1" applyFont="1" applyFill="1" applyBorder="1" applyAlignment="1">
      <alignment horizontal="left" vertical="center" wrapText="1"/>
    </xf>
    <xf numFmtId="4" fontId="38" fillId="0" borderId="4" xfId="0" applyNumberFormat="1" applyFont="1" applyFill="1" applyBorder="1" applyAlignment="1">
      <alignment horizontal="left" vertical="center" wrapText="1"/>
    </xf>
    <xf numFmtId="4" fontId="38" fillId="0" borderId="47" xfId="0" applyNumberFormat="1" applyFont="1" applyFill="1" applyBorder="1" applyAlignment="1">
      <alignment horizontal="left" vertical="center" wrapText="1"/>
    </xf>
    <xf numFmtId="0" fontId="11" fillId="0" borderId="69" xfId="0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3" fontId="7" fillId="0" borderId="70" xfId="0" applyNumberFormat="1" applyFont="1" applyFill="1" applyBorder="1" applyAlignment="1">
      <alignment vertical="center"/>
    </xf>
    <xf numFmtId="0" fontId="12" fillId="0" borderId="70" xfId="0" applyFont="1" applyFill="1" applyBorder="1" applyAlignment="1">
      <alignment horizontal="center" vertical="center"/>
    </xf>
    <xf numFmtId="164" fontId="6" fillId="0" borderId="70" xfId="0" applyNumberFormat="1" applyFont="1" applyFill="1" applyBorder="1" applyAlignment="1">
      <alignment horizontal="center" vertical="center"/>
    </xf>
    <xf numFmtId="164" fontId="22" fillId="0" borderId="70" xfId="0" applyNumberFormat="1" applyFont="1" applyFill="1" applyBorder="1" applyAlignment="1">
      <alignment horizontal="center" vertical="center"/>
    </xf>
    <xf numFmtId="0" fontId="11" fillId="0" borderId="70" xfId="0" applyFont="1" applyBorder="1" applyAlignment="1">
      <alignment vertical="center"/>
    </xf>
    <xf numFmtId="3" fontId="11" fillId="0" borderId="70" xfId="0" applyNumberFormat="1" applyFont="1" applyBorder="1" applyAlignment="1">
      <alignment vertical="center"/>
    </xf>
    <xf numFmtId="3" fontId="11" fillId="3" borderId="70" xfId="0" applyNumberFormat="1" applyFont="1" applyFill="1" applyBorder="1" applyAlignment="1">
      <alignment vertical="center"/>
    </xf>
    <xf numFmtId="0" fontId="11" fillId="0" borderId="70" xfId="0" applyFont="1" applyBorder="1" applyAlignment="1">
      <alignment horizontal="right" vertical="center"/>
    </xf>
    <xf numFmtId="0" fontId="11" fillId="0" borderId="71" xfId="0" applyFont="1" applyBorder="1" applyAlignment="1">
      <alignment vertical="center"/>
    </xf>
    <xf numFmtId="0" fontId="11" fillId="0" borderId="72" xfId="0" applyFont="1" applyBorder="1"/>
    <xf numFmtId="0" fontId="30" fillId="4" borderId="0" xfId="0" applyFont="1" applyFill="1" applyBorder="1"/>
    <xf numFmtId="3" fontId="11" fillId="4" borderId="0" xfId="0" applyNumberFormat="1" applyFont="1" applyFill="1" applyBorder="1"/>
    <xf numFmtId="0" fontId="11" fillId="4" borderId="0" xfId="0" applyFont="1" applyFill="1" applyBorder="1"/>
    <xf numFmtId="0" fontId="11" fillId="0" borderId="0" xfId="0" applyFont="1" applyBorder="1" applyAlignment="1">
      <alignment horizontal="right"/>
    </xf>
    <xf numFmtId="0" fontId="11" fillId="0" borderId="73" xfId="0" applyFont="1" applyBorder="1"/>
    <xf numFmtId="4" fontId="11" fillId="0" borderId="0" xfId="0" applyNumberFormat="1" applyFont="1" applyBorder="1" applyAlignment="1">
      <alignment horizontal="right"/>
    </xf>
    <xf numFmtId="0" fontId="11" fillId="0" borderId="74" xfId="0" applyFont="1" applyBorder="1"/>
    <xf numFmtId="4" fontId="11" fillId="0" borderId="75" xfId="0" applyNumberFormat="1" applyFont="1" applyBorder="1"/>
    <xf numFmtId="3" fontId="11" fillId="0" borderId="75" xfId="0" applyNumberFormat="1" applyFont="1" applyBorder="1"/>
    <xf numFmtId="3" fontId="11" fillId="3" borderId="75" xfId="0" applyNumberFormat="1" applyFont="1" applyFill="1" applyBorder="1"/>
    <xf numFmtId="4" fontId="11" fillId="0" borderId="75" xfId="0" applyNumberFormat="1" applyFont="1" applyBorder="1" applyAlignment="1">
      <alignment horizontal="right"/>
    </xf>
    <xf numFmtId="0" fontId="11" fillId="0" borderId="76" xfId="0" applyFont="1" applyBorder="1"/>
    <xf numFmtId="0" fontId="40" fillId="0" borderId="0" xfId="9" applyFont="1" applyBorder="1" applyAlignment="1">
      <alignment horizontal="left" vertical="center"/>
    </xf>
    <xf numFmtId="0" fontId="14" fillId="0" borderId="0" xfId="0" applyFont="1"/>
    <xf numFmtId="0" fontId="40" fillId="0" borderId="32" xfId="9" applyFont="1" applyBorder="1" applyAlignment="1">
      <alignment horizontal="left" vertical="center"/>
    </xf>
    <xf numFmtId="0" fontId="40" fillId="0" borderId="33" xfId="9" applyFont="1" applyBorder="1" applyAlignment="1">
      <alignment horizontal="left" vertical="center"/>
    </xf>
    <xf numFmtId="0" fontId="40" fillId="0" borderId="34" xfId="9" applyFont="1" applyBorder="1" applyAlignment="1">
      <alignment horizontal="left" vertical="center"/>
    </xf>
    <xf numFmtId="0" fontId="0" fillId="0" borderId="24" xfId="0" applyBorder="1"/>
    <xf numFmtId="0" fontId="0" fillId="0" borderId="22" xfId="0" applyBorder="1"/>
    <xf numFmtId="0" fontId="0" fillId="0" borderId="35" xfId="0" applyBorder="1"/>
    <xf numFmtId="0" fontId="0" fillId="0" borderId="31" xfId="0" applyBorder="1"/>
    <xf numFmtId="0" fontId="0" fillId="0" borderId="36" xfId="0" applyBorder="1"/>
    <xf numFmtId="0" fontId="34" fillId="11" borderId="6" xfId="0" applyFont="1" applyFill="1" applyBorder="1" applyAlignment="1">
      <alignment horizontal="center" vertical="center" wrapText="1"/>
    </xf>
    <xf numFmtId="3" fontId="35" fillId="11" borderId="68" xfId="0" applyNumberFormat="1" applyFont="1" applyFill="1" applyBorder="1" applyAlignment="1">
      <alignment horizontal="center" vertical="center"/>
    </xf>
    <xf numFmtId="0" fontId="8" fillId="11" borderId="0" xfId="0" applyFont="1" applyFill="1" applyBorder="1"/>
    <xf numFmtId="0" fontId="8" fillId="11" borderId="0" xfId="0" applyFont="1" applyFill="1" applyBorder="1" applyAlignment="1">
      <alignment horizontal="center"/>
    </xf>
    <xf numFmtId="0" fontId="8" fillId="11" borderId="65" xfId="0" applyFont="1" applyFill="1" applyBorder="1"/>
    <xf numFmtId="0" fontId="8" fillId="11" borderId="66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3" fontId="4" fillId="2" borderId="6" xfId="0" applyNumberFormat="1" applyFont="1" applyFill="1" applyBorder="1" applyAlignment="1">
      <alignment horizontal="justify" vertical="center" wrapText="1"/>
    </xf>
    <xf numFmtId="1" fontId="28" fillId="0" borderId="8" xfId="0" applyNumberFormat="1" applyFont="1" applyBorder="1" applyAlignment="1">
      <alignment horizontal="center"/>
    </xf>
    <xf numFmtId="1" fontId="28" fillId="0" borderId="9" xfId="0" applyNumberFormat="1" applyFont="1" applyBorder="1" applyAlignment="1">
      <alignment horizontal="center"/>
    </xf>
    <xf numFmtId="1" fontId="28" fillId="0" borderId="10" xfId="0" applyNumberFormat="1" applyFont="1" applyBorder="1" applyAlignment="1">
      <alignment horizontal="center"/>
    </xf>
    <xf numFmtId="0" fontId="28" fillId="12" borderId="11" xfId="0" applyFont="1" applyFill="1" applyBorder="1" applyAlignment="1">
      <alignment horizontal="center"/>
    </xf>
    <xf numFmtId="0" fontId="28" fillId="12" borderId="12" xfId="0" applyFont="1" applyFill="1" applyBorder="1" applyAlignment="1">
      <alignment horizontal="center"/>
    </xf>
    <xf numFmtId="0" fontId="28" fillId="12" borderId="13" xfId="0" applyFont="1" applyFill="1" applyBorder="1" applyAlignment="1">
      <alignment horizontal="center"/>
    </xf>
    <xf numFmtId="3" fontId="14" fillId="4" borderId="0" xfId="0" applyNumberFormat="1" applyFont="1" applyFill="1"/>
    <xf numFmtId="3" fontId="4" fillId="3" borderId="5" xfId="0" applyNumberFormat="1" applyFont="1" applyFill="1" applyBorder="1" applyAlignment="1">
      <alignment horizontal="right" vertical="center" wrapText="1"/>
    </xf>
    <xf numFmtId="165" fontId="12" fillId="0" borderId="68" xfId="0" applyNumberFormat="1" applyFont="1" applyFill="1" applyBorder="1" applyAlignment="1">
      <alignment horizontal="center" vertical="center"/>
    </xf>
    <xf numFmtId="3" fontId="7" fillId="2" borderId="54" xfId="0" applyNumberFormat="1" applyFont="1" applyFill="1" applyBorder="1" applyAlignment="1">
      <alignment horizontal="center"/>
    </xf>
    <xf numFmtId="3" fontId="13" fillId="2" borderId="54" xfId="0" applyNumberFormat="1" applyFont="1" applyFill="1" applyBorder="1" applyAlignment="1">
      <alignment horizontal="center" vertical="center" wrapText="1"/>
    </xf>
    <xf numFmtId="3" fontId="23" fillId="2" borderId="54" xfId="0" applyNumberFormat="1" applyFont="1" applyFill="1" applyBorder="1" applyAlignment="1">
      <alignment horizontal="center"/>
    </xf>
    <xf numFmtId="3" fontId="23" fillId="2" borderId="55" xfId="0" applyNumberFormat="1" applyFont="1" applyFill="1" applyBorder="1" applyAlignment="1">
      <alignment horizontal="center"/>
    </xf>
    <xf numFmtId="3" fontId="7" fillId="2" borderId="56" xfId="0" applyNumberFormat="1" applyFont="1" applyFill="1" applyBorder="1" applyAlignment="1">
      <alignment horizontal="center"/>
    </xf>
    <xf numFmtId="3" fontId="13" fillId="2" borderId="56" xfId="0" applyNumberFormat="1" applyFont="1" applyFill="1" applyBorder="1" applyAlignment="1">
      <alignment horizontal="center" vertical="center" wrapText="1"/>
    </xf>
    <xf numFmtId="3" fontId="23" fillId="2" borderId="56" xfId="0" applyNumberFormat="1" applyFont="1" applyFill="1" applyBorder="1" applyAlignment="1">
      <alignment horizontal="center"/>
    </xf>
    <xf numFmtId="3" fontId="23" fillId="2" borderId="57" xfId="0" applyNumberFormat="1" applyFont="1" applyFill="1" applyBorder="1" applyAlignment="1">
      <alignment horizontal="center"/>
    </xf>
    <xf numFmtId="3" fontId="7" fillId="2" borderId="58" xfId="0" applyNumberFormat="1" applyFont="1" applyFill="1" applyBorder="1" applyAlignment="1">
      <alignment horizontal="center"/>
    </xf>
    <xf numFmtId="3" fontId="13" fillId="2" borderId="58" xfId="0" applyNumberFormat="1" applyFont="1" applyFill="1" applyBorder="1" applyAlignment="1">
      <alignment horizontal="center" vertical="center" wrapText="1"/>
    </xf>
    <xf numFmtId="3" fontId="23" fillId="2" borderId="58" xfId="0" applyNumberFormat="1" applyFont="1" applyFill="1" applyBorder="1" applyAlignment="1">
      <alignment horizontal="center"/>
    </xf>
    <xf numFmtId="3" fontId="23" fillId="2" borderId="59" xfId="0" applyNumberFormat="1" applyFont="1" applyFill="1" applyBorder="1" applyAlignment="1">
      <alignment horizontal="center"/>
    </xf>
    <xf numFmtId="3" fontId="11" fillId="0" borderId="32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21" fillId="3" borderId="33" xfId="0" applyNumberFormat="1" applyFont="1" applyFill="1" applyBorder="1" applyAlignment="1">
      <alignment horizontal="center"/>
    </xf>
    <xf numFmtId="3" fontId="11" fillId="0" borderId="34" xfId="0" applyNumberFormat="1" applyFont="1" applyBorder="1"/>
    <xf numFmtId="3" fontId="11" fillId="0" borderId="24" xfId="0" applyNumberFormat="1" applyFont="1" applyBorder="1"/>
    <xf numFmtId="3" fontId="25" fillId="7" borderId="0" xfId="0" applyNumberFormat="1" applyFont="1" applyFill="1" applyBorder="1"/>
    <xf numFmtId="3" fontId="29" fillId="7" borderId="0" xfId="0" applyNumberFormat="1" applyFont="1" applyFill="1" applyBorder="1" applyAlignment="1">
      <alignment horizontal="center"/>
    </xf>
    <xf numFmtId="3" fontId="14" fillId="5" borderId="0" xfId="0" applyNumberFormat="1" applyFont="1" applyFill="1" applyBorder="1" applyAlignment="1">
      <alignment horizont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3" fontId="11" fillId="0" borderId="22" xfId="0" applyNumberFormat="1" applyFont="1" applyBorder="1"/>
    <xf numFmtId="3" fontId="11" fillId="0" borderId="35" xfId="0" applyNumberFormat="1" applyFont="1" applyBorder="1"/>
    <xf numFmtId="3" fontId="11" fillId="0" borderId="31" xfId="0" applyNumberFormat="1" applyFont="1" applyBorder="1" applyAlignment="1">
      <alignment horizontal="center"/>
    </xf>
    <xf numFmtId="3" fontId="21" fillId="3" borderId="31" xfId="0" applyNumberFormat="1" applyFont="1" applyFill="1" applyBorder="1" applyAlignment="1">
      <alignment horizontal="center"/>
    </xf>
    <xf numFmtId="3" fontId="11" fillId="0" borderId="36" xfId="0" applyNumberFormat="1" applyFont="1" applyBorder="1"/>
    <xf numFmtId="3" fontId="13" fillId="2" borderId="6" xfId="0" applyNumberFormat="1" applyFont="1" applyFill="1" applyBorder="1" applyAlignment="1">
      <alignment horizontal="center" vertical="center" wrapText="1"/>
    </xf>
    <xf numFmtId="3" fontId="6" fillId="0" borderId="33" xfId="0" applyNumberFormat="1" applyFont="1" applyBorder="1"/>
    <xf numFmtId="3" fontId="6" fillId="0" borderId="33" xfId="0" applyNumberFormat="1" applyFont="1" applyBorder="1" applyAlignment="1">
      <alignment horizontal="center"/>
    </xf>
    <xf numFmtId="0" fontId="25" fillId="4" borderId="0" xfId="0" applyFont="1" applyFill="1" applyBorder="1"/>
    <xf numFmtId="3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 applyBorder="1"/>
    <xf numFmtId="3" fontId="11" fillId="0" borderId="0" xfId="0" applyNumberFormat="1" applyFont="1" applyBorder="1" applyAlignment="1">
      <alignment horizontal="center"/>
    </xf>
    <xf numFmtId="3" fontId="41" fillId="0" borderId="22" xfId="0" applyNumberFormat="1" applyFont="1" applyBorder="1"/>
    <xf numFmtId="3" fontId="6" fillId="0" borderId="31" xfId="0" applyNumberFormat="1" applyFont="1" applyBorder="1"/>
    <xf numFmtId="3" fontId="6" fillId="0" borderId="31" xfId="0" applyNumberFormat="1" applyFont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0" fontId="0" fillId="4" borderId="0" xfId="0" applyFill="1"/>
    <xf numFmtId="0" fontId="34" fillId="11" borderId="5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33" fillId="8" borderId="82" xfId="0" applyFont="1" applyFill="1" applyBorder="1" applyAlignment="1">
      <alignment horizontal="center" vertical="center" wrapText="1"/>
    </xf>
    <xf numFmtId="3" fontId="13" fillId="3" borderId="6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center" vertical="center" wrapText="1"/>
    </xf>
    <xf numFmtId="3" fontId="13" fillId="3" borderId="91" xfId="0" applyNumberFormat="1" applyFont="1" applyFill="1" applyBorder="1" applyAlignment="1">
      <alignment horizontal="center" vertical="center" wrapText="1"/>
    </xf>
    <xf numFmtId="3" fontId="20" fillId="0" borderId="89" xfId="2" applyNumberFormat="1" applyFont="1" applyFill="1" applyBorder="1" applyAlignment="1" applyProtection="1">
      <alignment horizontal="center" vertical="center" wrapText="1"/>
      <protection hidden="1"/>
    </xf>
    <xf numFmtId="3" fontId="21" fillId="3" borderId="0" xfId="0" applyNumberFormat="1" applyFont="1" applyFill="1" applyBorder="1" applyAlignment="1">
      <alignment horizontal="center"/>
    </xf>
    <xf numFmtId="3" fontId="7" fillId="2" borderId="92" xfId="0" applyNumberFormat="1" applyFont="1" applyFill="1" applyBorder="1"/>
    <xf numFmtId="3" fontId="11" fillId="0" borderId="4" xfId="0" applyNumberFormat="1" applyFont="1" applyBorder="1"/>
    <xf numFmtId="3" fontId="21" fillId="3" borderId="34" xfId="0" applyNumberFormat="1" applyFont="1" applyFill="1" applyBorder="1" applyAlignment="1">
      <alignment horizontal="center"/>
    </xf>
    <xf numFmtId="3" fontId="21" fillId="3" borderId="22" xfId="0" applyNumberFormat="1" applyFont="1" applyFill="1" applyBorder="1" applyAlignment="1">
      <alignment horizontal="center"/>
    </xf>
    <xf numFmtId="3" fontId="29" fillId="3" borderId="22" xfId="0" applyNumberFormat="1" applyFont="1" applyFill="1" applyBorder="1" applyAlignment="1">
      <alignment horizontal="center"/>
    </xf>
    <xf numFmtId="3" fontId="21" fillId="3" borderId="36" xfId="0" applyNumberFormat="1" applyFont="1" applyFill="1" applyBorder="1" applyAlignment="1">
      <alignment horizontal="center"/>
    </xf>
    <xf numFmtId="0" fontId="25" fillId="7" borderId="17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7" fillId="11" borderId="28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left" vertical="center"/>
    </xf>
    <xf numFmtId="3" fontId="5" fillId="11" borderId="1" xfId="0" applyNumberFormat="1" applyFont="1" applyFill="1" applyBorder="1" applyAlignment="1">
      <alignment horizontal="center" vertical="center" wrapText="1"/>
    </xf>
    <xf numFmtId="3" fontId="13" fillId="11" borderId="26" xfId="0" applyNumberFormat="1" applyFont="1" applyFill="1" applyBorder="1" applyAlignment="1">
      <alignment horizontal="center" vertical="center" wrapText="1"/>
    </xf>
    <xf numFmtId="3" fontId="5" fillId="11" borderId="18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90" xfId="0" applyNumberFormat="1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left" vertical="center"/>
    </xf>
    <xf numFmtId="0" fontId="11" fillId="3" borderId="0" xfId="0" applyFont="1" applyFill="1" applyBorder="1"/>
    <xf numFmtId="0" fontId="0" fillId="0" borderId="0" xfId="0" applyBorder="1" applyAlignment="1"/>
    <xf numFmtId="0" fontId="32" fillId="3" borderId="17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wrapText="1"/>
    </xf>
    <xf numFmtId="0" fontId="31" fillId="3" borderId="17" xfId="0" applyFont="1" applyFill="1" applyBorder="1"/>
    <xf numFmtId="3" fontId="31" fillId="3" borderId="0" xfId="0" applyNumberFormat="1" applyFont="1" applyFill="1" applyBorder="1"/>
    <xf numFmtId="0" fontId="11" fillId="0" borderId="24" xfId="0" applyFont="1" applyBorder="1" applyAlignment="1">
      <alignment wrapText="1"/>
    </xf>
    <xf numFmtId="0" fontId="32" fillId="2" borderId="3" xfId="0" applyFont="1" applyFill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wrapText="1"/>
    </xf>
    <xf numFmtId="3" fontId="11" fillId="3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right" wrapText="1"/>
    </xf>
    <xf numFmtId="0" fontId="11" fillId="0" borderId="22" xfId="0" applyFont="1" applyBorder="1" applyAlignment="1">
      <alignment wrapText="1"/>
    </xf>
    <xf numFmtId="0" fontId="11" fillId="0" borderId="0" xfId="0" applyFont="1" applyAlignment="1">
      <alignment wrapText="1"/>
    </xf>
    <xf numFmtId="0" fontId="32" fillId="2" borderId="2" xfId="0" applyFont="1" applyFill="1" applyBorder="1" applyAlignment="1">
      <alignment wrapText="1"/>
    </xf>
    <xf numFmtId="0" fontId="33" fillId="8" borderId="5" xfId="0" applyFont="1" applyFill="1" applyBorder="1" applyAlignment="1">
      <alignment horizontal="center" vertical="center" wrapText="1"/>
    </xf>
    <xf numFmtId="0" fontId="11" fillId="0" borderId="96" xfId="0" applyFont="1" applyBorder="1"/>
    <xf numFmtId="0" fontId="11" fillId="3" borderId="0" xfId="0" applyFont="1" applyFill="1"/>
    <xf numFmtId="0" fontId="0" fillId="3" borderId="0" xfId="0" applyFill="1"/>
    <xf numFmtId="0" fontId="7" fillId="0" borderId="33" xfId="9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6" xfId="0" applyFont="1" applyBorder="1"/>
    <xf numFmtId="0" fontId="8" fillId="0" borderId="97" xfId="0" applyFont="1" applyBorder="1"/>
    <xf numFmtId="0" fontId="8" fillId="11" borderId="67" xfId="0" applyFont="1" applyFill="1" applyBorder="1" applyAlignment="1">
      <alignment horizontal="center"/>
    </xf>
    <xf numFmtId="0" fontId="8" fillId="0" borderId="5" xfId="0" applyFont="1" applyBorder="1"/>
    <xf numFmtId="0" fontId="0" fillId="0" borderId="98" xfId="0" applyBorder="1"/>
    <xf numFmtId="0" fontId="19" fillId="0" borderId="33" xfId="0" applyFont="1" applyBorder="1"/>
    <xf numFmtId="0" fontId="0" fillId="0" borderId="34" xfId="0" applyBorder="1"/>
    <xf numFmtId="0" fontId="0" fillId="3" borderId="0" xfId="0" applyFill="1" applyBorder="1"/>
    <xf numFmtId="0" fontId="0" fillId="3" borderId="22" xfId="0" applyFill="1" applyBorder="1"/>
    <xf numFmtId="0" fontId="0" fillId="0" borderId="0" xfId="0" applyBorder="1"/>
    <xf numFmtId="3" fontId="20" fillId="0" borderId="99" xfId="2" applyNumberFormat="1" applyFont="1" applyFill="1" applyBorder="1" applyAlignment="1" applyProtection="1">
      <alignment horizontal="center" vertical="center" wrapText="1"/>
      <protection hidden="1"/>
    </xf>
    <xf numFmtId="3" fontId="14" fillId="3" borderId="0" xfId="0" applyNumberFormat="1" applyFont="1" applyFill="1"/>
    <xf numFmtId="0" fontId="24" fillId="4" borderId="65" xfId="0" applyFont="1" applyFill="1" applyBorder="1" applyAlignment="1">
      <alignment vertical="center"/>
    </xf>
    <xf numFmtId="0" fontId="24" fillId="4" borderId="66" xfId="0" applyFont="1" applyFill="1" applyBorder="1" applyAlignment="1">
      <alignment vertical="center"/>
    </xf>
    <xf numFmtId="3" fontId="13" fillId="6" borderId="18" xfId="0" applyNumberFormat="1" applyFont="1" applyFill="1" applyBorder="1" applyAlignment="1">
      <alignment horizontal="center" vertical="center" wrapText="1"/>
    </xf>
    <xf numFmtId="3" fontId="42" fillId="3" borderId="22" xfId="0" applyNumberFormat="1" applyFont="1" applyFill="1" applyBorder="1"/>
    <xf numFmtId="3" fontId="11" fillId="0" borderId="34" xfId="0" applyNumberFormat="1" applyFont="1" applyBorder="1" applyAlignment="1">
      <alignment horizontal="center"/>
    </xf>
    <xf numFmtId="3" fontId="6" fillId="4" borderId="22" xfId="0" applyNumberFormat="1" applyFont="1" applyFill="1" applyBorder="1" applyAlignment="1">
      <alignment horizontal="center"/>
    </xf>
    <xf numFmtId="3" fontId="6" fillId="0" borderId="36" xfId="0" applyNumberFormat="1" applyFont="1" applyBorder="1" applyAlignment="1">
      <alignment horizontal="center"/>
    </xf>
    <xf numFmtId="0" fontId="8" fillId="0" borderId="19" xfId="0" applyFont="1" applyFill="1" applyBorder="1"/>
    <xf numFmtId="0" fontId="0" fillId="0" borderId="19" xfId="0" applyBorder="1"/>
    <xf numFmtId="0" fontId="8" fillId="0" borderId="14" xfId="0" applyFont="1" applyBorder="1"/>
    <xf numFmtId="0" fontId="8" fillId="0" borderId="15" xfId="0" applyFont="1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0" xfId="0" applyNumberFormat="1" applyBorder="1"/>
    <xf numFmtId="0" fontId="0" fillId="0" borderId="101" xfId="0" applyBorder="1"/>
    <xf numFmtId="0" fontId="0" fillId="0" borderId="18" xfId="0" applyBorder="1"/>
    <xf numFmtId="0" fontId="8" fillId="0" borderId="19" xfId="0" applyFont="1" applyBorder="1"/>
    <xf numFmtId="3" fontId="0" fillId="0" borderId="19" xfId="0" applyNumberFormat="1" applyBorder="1"/>
    <xf numFmtId="0" fontId="0" fillId="0" borderId="20" xfId="0" applyBorder="1"/>
    <xf numFmtId="0" fontId="8" fillId="0" borderId="4" xfId="0" applyFont="1" applyBorder="1"/>
    <xf numFmtId="3" fontId="0" fillId="0" borderId="4" xfId="0" applyNumberFormat="1" applyBorder="1"/>
    <xf numFmtId="0" fontId="3" fillId="0" borderId="14" xfId="0" applyFont="1" applyFill="1" applyBorder="1" applyProtection="1"/>
    <xf numFmtId="0" fontId="3" fillId="0" borderId="18" xfId="0" applyFont="1" applyFill="1" applyBorder="1" applyProtection="1"/>
    <xf numFmtId="3" fontId="8" fillId="0" borderId="19" xfId="0" applyNumberFormat="1" applyFont="1" applyBorder="1"/>
    <xf numFmtId="3" fontId="0" fillId="0" borderId="20" xfId="0" applyNumberFormat="1" applyBorder="1"/>
    <xf numFmtId="0" fontId="8" fillId="3" borderId="14" xfId="0" applyFont="1" applyFill="1" applyBorder="1"/>
    <xf numFmtId="9" fontId="8" fillId="3" borderId="15" xfId="0" applyNumberFormat="1" applyFont="1" applyFill="1" applyBorder="1"/>
    <xf numFmtId="0" fontId="8" fillId="3" borderId="17" xfId="0" applyFont="1" applyFill="1" applyBorder="1"/>
    <xf numFmtId="3" fontId="8" fillId="3" borderId="0" xfId="0" applyNumberFormat="1" applyFont="1" applyFill="1" applyBorder="1"/>
    <xf numFmtId="0" fontId="8" fillId="0" borderId="17" xfId="0" applyFont="1" applyBorder="1"/>
    <xf numFmtId="2" fontId="0" fillId="0" borderId="0" xfId="0" applyNumberFormat="1" applyBorder="1"/>
    <xf numFmtId="0" fontId="8" fillId="3" borderId="17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left"/>
    </xf>
    <xf numFmtId="9" fontId="0" fillId="2" borderId="19" xfId="0" applyNumberFormat="1" applyFill="1" applyBorder="1"/>
    <xf numFmtId="0" fontId="40" fillId="3" borderId="0" xfId="9" applyFont="1" applyFill="1" applyBorder="1" applyAlignment="1">
      <alignment horizontal="left" vertical="center"/>
    </xf>
    <xf numFmtId="3" fontId="11" fillId="3" borderId="6" xfId="0" applyNumberFormat="1" applyFont="1" applyFill="1" applyBorder="1" applyAlignment="1">
      <alignment horizontal="center"/>
    </xf>
    <xf numFmtId="3" fontId="20" fillId="0" borderId="17" xfId="2" applyNumberFormat="1" applyFont="1" applyFill="1" applyBorder="1" applyAlignment="1" applyProtection="1">
      <alignment horizontal="center" vertical="center"/>
      <protection hidden="1"/>
    </xf>
    <xf numFmtId="0" fontId="8" fillId="0" borderId="102" xfId="0" applyFont="1" applyBorder="1" applyAlignment="1">
      <alignment horizontal="center"/>
    </xf>
    <xf numFmtId="3" fontId="8" fillId="3" borderId="15" xfId="0" applyNumberFormat="1" applyFont="1" applyFill="1" applyBorder="1"/>
    <xf numFmtId="3" fontId="0" fillId="3" borderId="0" xfId="0" applyNumberFormat="1" applyFill="1" applyBorder="1"/>
    <xf numFmtId="3" fontId="0" fillId="3" borderId="15" xfId="0" applyNumberFormat="1" applyFill="1" applyBorder="1"/>
    <xf numFmtId="2" fontId="37" fillId="3" borderId="63" xfId="0" applyNumberFormat="1" applyFont="1" applyFill="1" applyBorder="1" applyAlignment="1">
      <alignment horizontal="right" vertical="center" wrapText="1"/>
    </xf>
    <xf numFmtId="3" fontId="11" fillId="2" borderId="82" xfId="0" applyNumberFormat="1" applyFont="1" applyFill="1" applyBorder="1" applyAlignment="1">
      <alignment wrapText="1"/>
    </xf>
    <xf numFmtId="0" fontId="33" fillId="8" borderId="95" xfId="0" applyFont="1" applyFill="1" applyBorder="1" applyAlignment="1">
      <alignment horizontal="center" vertical="center" wrapText="1"/>
    </xf>
    <xf numFmtId="0" fontId="11" fillId="2" borderId="95" xfId="0" applyFont="1" applyFill="1" applyBorder="1" applyAlignment="1">
      <alignment wrapText="1"/>
    </xf>
    <xf numFmtId="0" fontId="15" fillId="8" borderId="5" xfId="0" applyFont="1" applyFill="1" applyBorder="1" applyAlignment="1">
      <alignment horizontal="center" wrapText="1"/>
    </xf>
    <xf numFmtId="0" fontId="15" fillId="8" borderId="95" xfId="0" applyFont="1" applyFill="1" applyBorder="1" applyAlignment="1">
      <alignment horizont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1" fontId="0" fillId="0" borderId="19" xfId="0" applyNumberFormat="1" applyBorder="1"/>
    <xf numFmtId="0" fontId="0" fillId="6" borderId="6" xfId="0" applyFill="1" applyBorder="1" applyAlignment="1">
      <alignment vertical="center" wrapText="1"/>
    </xf>
    <xf numFmtId="3" fontId="13" fillId="2" borderId="6" xfId="2" applyNumberFormat="1" applyFont="1" applyFill="1" applyBorder="1" applyAlignment="1" applyProtection="1">
      <alignment horizontal="right" vertical="center" shrinkToFit="1"/>
    </xf>
    <xf numFmtId="0" fontId="19" fillId="2" borderId="6" xfId="0" applyFont="1" applyFill="1" applyBorder="1" applyAlignment="1">
      <alignment horizontal="center"/>
    </xf>
    <xf numFmtId="0" fontId="0" fillId="0" borderId="100" xfId="0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98" xfId="0" applyFont="1" applyBorder="1" applyAlignment="1">
      <alignment horizontal="center"/>
    </xf>
    <xf numFmtId="0" fontId="8" fillId="2" borderId="0" xfId="0" applyFont="1" applyFill="1"/>
    <xf numFmtId="164" fontId="0" fillId="0" borderId="0" xfId="0" applyNumberFormat="1"/>
    <xf numFmtId="167" fontId="37" fillId="3" borderId="63" xfId="0" applyNumberFormat="1" applyFont="1" applyFill="1" applyBorder="1" applyAlignment="1">
      <alignment horizontal="right" vertical="center" wrapText="1"/>
    </xf>
    <xf numFmtId="168" fontId="11" fillId="2" borderId="60" xfId="0" applyNumberFormat="1" applyFont="1" applyFill="1" applyBorder="1"/>
    <xf numFmtId="168" fontId="11" fillId="2" borderId="63" xfId="0" applyNumberFormat="1" applyFont="1" applyFill="1" applyBorder="1"/>
    <xf numFmtId="168" fontId="11" fillId="3" borderId="85" xfId="0" applyNumberFormat="1" applyFont="1" applyFill="1" applyBorder="1"/>
    <xf numFmtId="4" fontId="37" fillId="3" borderId="63" xfId="0" applyNumberFormat="1" applyFont="1" applyFill="1" applyBorder="1" applyAlignment="1">
      <alignment horizontal="right" vertical="center" wrapText="1"/>
    </xf>
    <xf numFmtId="4" fontId="11" fillId="2" borderId="82" xfId="0" applyNumberFormat="1" applyFont="1" applyFill="1" applyBorder="1" applyAlignment="1">
      <alignment wrapText="1"/>
    </xf>
    <xf numFmtId="4" fontId="11" fillId="2" borderId="4" xfId="0" applyNumberFormat="1" applyFont="1" applyFill="1" applyBorder="1" applyAlignment="1">
      <alignment wrapText="1"/>
    </xf>
    <xf numFmtId="4" fontId="11" fillId="2" borderId="84" xfId="0" applyNumberFormat="1" applyFont="1" applyFill="1" applyBorder="1" applyAlignment="1">
      <alignment wrapText="1"/>
    </xf>
    <xf numFmtId="4" fontId="11" fillId="2" borderId="15" xfId="0" applyNumberFormat="1" applyFont="1" applyFill="1" applyBorder="1" applyAlignment="1">
      <alignment wrapText="1"/>
    </xf>
    <xf numFmtId="3" fontId="7" fillId="2" borderId="104" xfId="0" applyNumberFormat="1" applyFont="1" applyFill="1" applyBorder="1"/>
    <xf numFmtId="3" fontId="7" fillId="2" borderId="105" xfId="0" applyNumberFormat="1" applyFont="1" applyFill="1" applyBorder="1"/>
    <xf numFmtId="3" fontId="7" fillId="2" borderId="106" xfId="0" applyNumberFormat="1" applyFont="1" applyFill="1" applyBorder="1"/>
    <xf numFmtId="4" fontId="7" fillId="2" borderId="93" xfId="0" applyNumberFormat="1" applyFont="1" applyFill="1" applyBorder="1" applyAlignment="1">
      <alignment horizontal="center"/>
    </xf>
    <xf numFmtId="4" fontId="13" fillId="2" borderId="93" xfId="0" applyNumberFormat="1" applyFont="1" applyFill="1" applyBorder="1" applyAlignment="1">
      <alignment horizontal="center" vertical="center" wrapText="1"/>
    </xf>
    <xf numFmtId="169" fontId="11" fillId="0" borderId="94" xfId="0" applyNumberFormat="1" applyFont="1" applyBorder="1"/>
    <xf numFmtId="4" fontId="23" fillId="2" borderId="54" xfId="0" applyNumberFormat="1" applyFont="1" applyFill="1" applyBorder="1" applyAlignment="1">
      <alignment horizontal="center"/>
    </xf>
    <xf numFmtId="4" fontId="23" fillId="2" borderId="56" xfId="0" applyNumberFormat="1" applyFont="1" applyFill="1" applyBorder="1" applyAlignment="1">
      <alignment horizontal="center"/>
    </xf>
    <xf numFmtId="4" fontId="23" fillId="2" borderId="58" xfId="0" applyNumberFormat="1" applyFont="1" applyFill="1" applyBorder="1" applyAlignment="1">
      <alignment horizontal="center"/>
    </xf>
    <xf numFmtId="4" fontId="36" fillId="3" borderId="4" xfId="0" applyNumberFormat="1" applyFont="1" applyFill="1" applyBorder="1" applyAlignment="1">
      <alignment horizontal="left" vertical="center" wrapText="1"/>
    </xf>
    <xf numFmtId="4" fontId="36" fillId="3" borderId="88" xfId="0" applyNumberFormat="1" applyFont="1" applyFill="1" applyBorder="1" applyAlignment="1">
      <alignment horizontal="left" vertical="center" wrapText="1"/>
    </xf>
    <xf numFmtId="49" fontId="33" fillId="3" borderId="86" xfId="0" applyNumberFormat="1" applyFont="1" applyFill="1" applyBorder="1" applyAlignment="1">
      <alignment horizontal="left" vertical="center" wrapText="1"/>
    </xf>
    <xf numFmtId="49" fontId="33" fillId="3" borderId="5" xfId="0" applyNumberFormat="1" applyFont="1" applyFill="1" applyBorder="1" applyAlignment="1">
      <alignment horizontal="left" vertical="center" wrapText="1"/>
    </xf>
    <xf numFmtId="166" fontId="23" fillId="3" borderId="54" xfId="0" applyNumberFormat="1" applyFont="1" applyFill="1" applyBorder="1" applyAlignment="1">
      <alignment horizontal="center"/>
    </xf>
    <xf numFmtId="0" fontId="0" fillId="2" borderId="67" xfId="0" applyFill="1" applyBorder="1"/>
    <xf numFmtId="0" fontId="6" fillId="0" borderId="0" xfId="0" applyFont="1"/>
    <xf numFmtId="0" fontId="13" fillId="3" borderId="111" xfId="0" applyFont="1" applyFill="1" applyBorder="1" applyAlignment="1">
      <alignment horizontal="center" vertical="center" wrapText="1"/>
    </xf>
    <xf numFmtId="0" fontId="13" fillId="13" borderId="114" xfId="0" applyFont="1" applyFill="1" applyBorder="1" applyAlignment="1">
      <alignment horizontal="center" vertical="center" wrapText="1"/>
    </xf>
    <xf numFmtId="0" fontId="13" fillId="14" borderId="113" xfId="0" applyFont="1" applyFill="1" applyBorder="1" applyAlignment="1">
      <alignment horizontal="center" vertical="center" wrapText="1"/>
    </xf>
    <xf numFmtId="0" fontId="13" fillId="3" borderId="115" xfId="0" applyFont="1" applyFill="1" applyBorder="1" applyAlignment="1">
      <alignment horizontal="center" vertical="center" wrapText="1"/>
    </xf>
    <xf numFmtId="0" fontId="13" fillId="13" borderId="118" xfId="0" applyFont="1" applyFill="1" applyBorder="1" applyAlignment="1">
      <alignment horizontal="center" vertical="center" wrapText="1"/>
    </xf>
    <xf numFmtId="0" fontId="13" fillId="14" borderId="119" xfId="0" applyFont="1" applyFill="1" applyBorder="1" applyAlignment="1">
      <alignment horizontal="center" vertical="center" wrapText="1"/>
    </xf>
    <xf numFmtId="0" fontId="13" fillId="3" borderId="116" xfId="0" applyFont="1" applyFill="1" applyBorder="1" applyAlignment="1">
      <alignment horizontal="center" vertical="center" wrapText="1"/>
    </xf>
    <xf numFmtId="0" fontId="46" fillId="3" borderId="120" xfId="0" applyFont="1" applyFill="1" applyBorder="1" applyAlignment="1">
      <alignment horizontal="center" vertical="center" wrapText="1"/>
    </xf>
    <xf numFmtId="9" fontId="6" fillId="15" borderId="120" xfId="0" applyNumberFormat="1" applyFont="1" applyFill="1" applyBorder="1" applyAlignment="1">
      <alignment horizontal="center" vertical="center" wrapText="1"/>
    </xf>
    <xf numFmtId="9" fontId="6" fillId="15" borderId="121" xfId="0" applyNumberFormat="1" applyFont="1" applyFill="1" applyBorder="1" applyAlignment="1">
      <alignment horizontal="center" vertical="center" wrapText="1"/>
    </xf>
    <xf numFmtId="9" fontId="6" fillId="2" borderId="121" xfId="0" applyNumberFormat="1" applyFont="1" applyFill="1" applyBorder="1" applyAlignment="1">
      <alignment horizontal="center" vertical="center" wrapText="1"/>
    </xf>
    <xf numFmtId="9" fontId="6" fillId="15" borderId="123" xfId="0" applyNumberFormat="1" applyFont="1" applyFill="1" applyBorder="1" applyAlignment="1">
      <alignment horizontal="center" vertical="center" wrapText="1"/>
    </xf>
    <xf numFmtId="9" fontId="6" fillId="15" borderId="124" xfId="0" applyNumberFormat="1" applyFont="1" applyFill="1" applyBorder="1" applyAlignment="1">
      <alignment horizontal="center" vertical="center" wrapText="1"/>
    </xf>
    <xf numFmtId="9" fontId="6" fillId="2" borderId="125" xfId="0" applyNumberFormat="1" applyFont="1" applyFill="1" applyBorder="1" applyAlignment="1">
      <alignment horizontal="center" vertical="center" wrapText="1"/>
    </xf>
    <xf numFmtId="9" fontId="6" fillId="15" borderId="125" xfId="0" applyNumberFormat="1" applyFont="1" applyFill="1" applyBorder="1" applyAlignment="1">
      <alignment horizontal="center" vertical="center" wrapText="1"/>
    </xf>
    <xf numFmtId="9" fontId="6" fillId="4" borderId="9" xfId="0" applyNumberFormat="1" applyFont="1" applyFill="1" applyBorder="1" applyAlignment="1">
      <alignment horizontal="center" vertical="center" wrapText="1"/>
    </xf>
    <xf numFmtId="0" fontId="13" fillId="13" borderId="126" xfId="0" applyFont="1" applyFill="1" applyBorder="1" applyAlignment="1">
      <alignment horizontal="center" vertical="center" wrapText="1"/>
    </xf>
    <xf numFmtId="0" fontId="13" fillId="14" borderId="10" xfId="0" applyFont="1" applyFill="1" applyBorder="1" applyAlignment="1">
      <alignment horizontal="center" vertical="center" wrapText="1"/>
    </xf>
    <xf numFmtId="2" fontId="6" fillId="2" borderId="116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6" fillId="2" borderId="105" xfId="0" applyNumberFormat="1" applyFont="1" applyFill="1" applyBorder="1" applyAlignment="1">
      <alignment horizontal="center" vertical="center" wrapText="1"/>
    </xf>
    <xf numFmtId="2" fontId="46" fillId="2" borderId="97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46" fillId="13" borderId="130" xfId="0" applyFont="1" applyFill="1" applyBorder="1" applyAlignment="1">
      <alignment horizontal="center" vertical="center" wrapText="1"/>
    </xf>
    <xf numFmtId="0" fontId="46" fillId="14" borderId="131" xfId="0" applyFont="1" applyFill="1" applyBorder="1" applyAlignment="1">
      <alignment horizontal="center" vertical="center" wrapText="1"/>
    </xf>
    <xf numFmtId="2" fontId="46" fillId="0" borderId="0" xfId="0" applyNumberFormat="1" applyFont="1" applyFill="1" applyBorder="1" applyAlignment="1">
      <alignment horizontal="center" vertical="center"/>
    </xf>
    <xf numFmtId="2" fontId="13" fillId="3" borderId="116" xfId="0" applyNumberFormat="1" applyFont="1" applyFill="1" applyBorder="1" applyAlignment="1">
      <alignment horizontal="center" vertical="center" wrapText="1"/>
    </xf>
    <xf numFmtId="2" fontId="13" fillId="3" borderId="6" xfId="0" applyNumberFormat="1" applyFont="1" applyFill="1" applyBorder="1" applyAlignment="1">
      <alignment horizontal="center" vertical="center" wrapText="1"/>
    </xf>
    <xf numFmtId="2" fontId="13" fillId="3" borderId="97" xfId="0" applyNumberFormat="1" applyFont="1" applyFill="1" applyBorder="1" applyAlignment="1">
      <alignment horizontal="center" vertical="center" wrapText="1"/>
    </xf>
    <xf numFmtId="2" fontId="13" fillId="3" borderId="105" xfId="0" applyNumberFormat="1" applyFont="1" applyFill="1" applyBorder="1" applyAlignment="1">
      <alignment horizontal="center" vertical="center" wrapText="1"/>
    </xf>
    <xf numFmtId="2" fontId="13" fillId="3" borderId="5" xfId="0" applyNumberFormat="1" applyFont="1" applyFill="1" applyBorder="1" applyAlignment="1">
      <alignment horizontal="center" vertical="center" wrapText="1"/>
    </xf>
    <xf numFmtId="2" fontId="46" fillId="13" borderId="130" xfId="0" applyNumberFormat="1" applyFont="1" applyFill="1" applyBorder="1" applyAlignment="1">
      <alignment horizontal="center" vertical="center" wrapText="1"/>
    </xf>
    <xf numFmtId="2" fontId="46" fillId="14" borderId="13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2" fontId="6" fillId="2" borderId="120" xfId="0" applyNumberFormat="1" applyFont="1" applyFill="1" applyBorder="1" applyAlignment="1">
      <alignment horizontal="center" vertical="center" wrapText="1"/>
    </xf>
    <xf numFmtId="2" fontId="6" fillId="2" borderId="121" xfId="0" applyNumberFormat="1" applyFont="1" applyFill="1" applyBorder="1" applyAlignment="1">
      <alignment horizontal="center" vertical="center" wrapText="1"/>
    </xf>
    <xf numFmtId="2" fontId="46" fillId="2" borderId="123" xfId="0" applyNumberFormat="1" applyFont="1" applyFill="1" applyBorder="1" applyAlignment="1">
      <alignment horizontal="center" vertical="center" wrapText="1"/>
    </xf>
    <xf numFmtId="2" fontId="46" fillId="2" borderId="124" xfId="0" applyNumberFormat="1" applyFont="1" applyFill="1" applyBorder="1" applyAlignment="1">
      <alignment horizontal="center" vertical="center" wrapText="1"/>
    </xf>
    <xf numFmtId="2" fontId="46" fillId="2" borderId="106" xfId="0" applyNumberFormat="1" applyFont="1" applyFill="1" applyBorder="1" applyAlignment="1">
      <alignment horizontal="center" vertical="center" wrapText="1"/>
    </xf>
    <xf numFmtId="2" fontId="46" fillId="2" borderId="125" xfId="0" applyNumberFormat="1" applyFont="1" applyFill="1" applyBorder="1" applyAlignment="1">
      <alignment horizontal="center" vertical="center" wrapText="1"/>
    </xf>
    <xf numFmtId="2" fontId="46" fillId="13" borderId="132" xfId="0" applyNumberFormat="1" applyFont="1" applyFill="1" applyBorder="1" applyAlignment="1">
      <alignment horizontal="center" vertical="center" wrapText="1"/>
    </xf>
    <xf numFmtId="2" fontId="46" fillId="14" borderId="133" xfId="0" applyNumberFormat="1" applyFont="1" applyFill="1" applyBorder="1" applyAlignment="1">
      <alignment horizontal="center" vertical="center" wrapText="1"/>
    </xf>
    <xf numFmtId="2" fontId="46" fillId="2" borderId="111" xfId="0" applyNumberFormat="1" applyFont="1" applyFill="1" applyBorder="1" applyAlignment="1">
      <alignment horizontal="center" vertical="center" wrapText="1"/>
    </xf>
    <xf numFmtId="2" fontId="46" fillId="2" borderId="127" xfId="0" applyNumberFormat="1" applyFont="1" applyFill="1" applyBorder="1" applyAlignment="1">
      <alignment horizontal="center" vertical="center" wrapText="1"/>
    </xf>
    <xf numFmtId="2" fontId="46" fillId="2" borderId="104" xfId="0" applyNumberFormat="1" applyFont="1" applyFill="1" applyBorder="1" applyAlignment="1">
      <alignment horizontal="center" vertical="center" wrapText="1"/>
    </xf>
    <xf numFmtId="2" fontId="46" fillId="2" borderId="129" xfId="0" applyNumberFormat="1" applyFont="1" applyFill="1" applyBorder="1" applyAlignment="1">
      <alignment horizontal="center" vertical="center" wrapText="1"/>
    </xf>
    <xf numFmtId="2" fontId="46" fillId="2" borderId="112" xfId="0" applyNumberFormat="1" applyFont="1" applyFill="1" applyBorder="1" applyAlignment="1">
      <alignment horizontal="center" vertical="center" wrapText="1"/>
    </xf>
    <xf numFmtId="2" fontId="46" fillId="13" borderId="114" xfId="0" applyNumberFormat="1" applyFont="1" applyFill="1" applyBorder="1" applyAlignment="1">
      <alignment horizontal="center" vertical="center" wrapText="1"/>
    </xf>
    <xf numFmtId="2" fontId="46" fillId="14" borderId="113" xfId="0" applyNumberFormat="1" applyFont="1" applyFill="1" applyBorder="1" applyAlignment="1">
      <alignment horizontal="center" vertical="center" wrapText="1"/>
    </xf>
    <xf numFmtId="2" fontId="46" fillId="2" borderId="116" xfId="0" applyNumberFormat="1" applyFont="1" applyFill="1" applyBorder="1" applyAlignment="1">
      <alignment horizontal="center" vertical="center" wrapText="1"/>
    </xf>
    <xf numFmtId="2" fontId="46" fillId="2" borderId="6" xfId="0" applyNumberFormat="1" applyFont="1" applyFill="1" applyBorder="1" applyAlignment="1">
      <alignment horizontal="center" vertical="center" wrapText="1"/>
    </xf>
    <xf numFmtId="2" fontId="46" fillId="2" borderId="105" xfId="0" applyNumberFormat="1" applyFont="1" applyFill="1" applyBorder="1" applyAlignment="1">
      <alignment horizontal="center" vertical="center" wrapText="1"/>
    </xf>
    <xf numFmtId="2" fontId="46" fillId="2" borderId="134" xfId="0" applyNumberFormat="1" applyFont="1" applyFill="1" applyBorder="1" applyAlignment="1">
      <alignment horizontal="center" vertical="center" wrapText="1"/>
    </xf>
    <xf numFmtId="2" fontId="46" fillId="2" borderId="19" xfId="0" applyNumberFormat="1" applyFont="1" applyFill="1" applyBorder="1" applyAlignment="1">
      <alignment horizontal="center" vertical="center" wrapText="1"/>
    </xf>
    <xf numFmtId="2" fontId="46" fillId="2" borderId="120" xfId="0" applyNumberFormat="1" applyFont="1" applyFill="1" applyBorder="1" applyAlignment="1">
      <alignment horizontal="center" vertical="center" wrapText="1"/>
    </xf>
    <xf numFmtId="2" fontId="46" fillId="2" borderId="121" xfId="0" applyNumberFormat="1" applyFont="1" applyFill="1" applyBorder="1" applyAlignment="1">
      <alignment horizontal="center" vertical="center" wrapText="1"/>
    </xf>
    <xf numFmtId="2" fontId="46" fillId="2" borderId="9" xfId="0" applyNumberFormat="1" applyFont="1" applyFill="1" applyBorder="1" applyAlignment="1">
      <alignment horizontal="center" vertical="center" wrapText="1"/>
    </xf>
    <xf numFmtId="164" fontId="46" fillId="13" borderId="114" xfId="0" applyNumberFormat="1" applyFont="1" applyFill="1" applyBorder="1" applyAlignment="1">
      <alignment horizontal="center" vertical="center" wrapText="1"/>
    </xf>
    <xf numFmtId="164" fontId="6" fillId="14" borderId="113" xfId="0" applyNumberFormat="1" applyFont="1" applyFill="1" applyBorder="1" applyAlignment="1">
      <alignment horizontal="center" vertical="center" wrapText="1"/>
    </xf>
    <xf numFmtId="164" fontId="46" fillId="13" borderId="137" xfId="0" applyNumberFormat="1" applyFont="1" applyFill="1" applyBorder="1" applyAlignment="1">
      <alignment horizontal="center" vertical="center" wrapText="1"/>
    </xf>
    <xf numFmtId="164" fontId="6" fillId="14" borderId="131" xfId="0" applyNumberFormat="1" applyFont="1" applyFill="1" applyBorder="1" applyAlignment="1">
      <alignment horizontal="center" vertical="center" wrapText="1"/>
    </xf>
    <xf numFmtId="164" fontId="46" fillId="13" borderId="126" xfId="0" applyNumberFormat="1" applyFont="1" applyFill="1" applyBorder="1" applyAlignment="1">
      <alignment horizontal="center" vertical="center" wrapText="1"/>
    </xf>
    <xf numFmtId="164" fontId="6" fillId="14" borderId="133" xfId="0" applyNumberFormat="1" applyFont="1" applyFill="1" applyBorder="1" applyAlignment="1">
      <alignment horizontal="center" vertical="center" wrapText="1"/>
    </xf>
    <xf numFmtId="1" fontId="46" fillId="2" borderId="11" xfId="0" applyNumberFormat="1" applyFont="1" applyFill="1" applyBorder="1" applyAlignment="1">
      <alignment horizontal="center" vertical="center" wrapText="1"/>
    </xf>
    <xf numFmtId="1" fontId="46" fillId="2" borderId="138" xfId="0" applyNumberFormat="1" applyFont="1" applyFill="1" applyBorder="1" applyAlignment="1">
      <alignment horizontal="center" vertical="center" wrapText="1"/>
    </xf>
    <xf numFmtId="0" fontId="46" fillId="2" borderId="103" xfId="0" applyFont="1" applyFill="1" applyBorder="1" applyAlignment="1">
      <alignment horizontal="center" vertical="center" wrapText="1"/>
    </xf>
    <xf numFmtId="0" fontId="46" fillId="2" borderId="140" xfId="0" applyFont="1" applyFill="1" applyBorder="1" applyAlignment="1">
      <alignment horizontal="center" vertical="center" wrapText="1"/>
    </xf>
    <xf numFmtId="0" fontId="46" fillId="2" borderId="12" xfId="0" applyFont="1" applyFill="1" applyBorder="1" applyAlignment="1">
      <alignment horizontal="center" vertical="center" wrapText="1"/>
    </xf>
    <xf numFmtId="2" fontId="46" fillId="13" borderId="141" xfId="0" applyNumberFormat="1" applyFont="1" applyFill="1" applyBorder="1" applyAlignment="1">
      <alignment horizontal="center" vertical="center" wrapText="1"/>
    </xf>
    <xf numFmtId="2" fontId="46" fillId="14" borderId="13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/>
    <xf numFmtId="0" fontId="13" fillId="17" borderId="105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4" xfId="0" applyFont="1" applyFill="1" applyBorder="1" applyAlignment="1">
      <alignment horizontal="center" vertical="center" wrapText="1"/>
    </xf>
    <xf numFmtId="0" fontId="13" fillId="17" borderId="134" xfId="0" applyFont="1" applyFill="1" applyBorder="1" applyAlignment="1">
      <alignment horizontal="center" vertical="center" wrapText="1"/>
    </xf>
    <xf numFmtId="0" fontId="13" fillId="17" borderId="19" xfId="0" applyFont="1" applyFill="1" applyBorder="1" applyAlignment="1">
      <alignment horizontal="center" vertical="center" wrapText="1"/>
    </xf>
    <xf numFmtId="0" fontId="13" fillId="17" borderId="17" xfId="0" applyFont="1" applyFill="1" applyBorder="1" applyAlignment="1">
      <alignment horizontal="center" vertical="center" wrapText="1"/>
    </xf>
    <xf numFmtId="0" fontId="13" fillId="17" borderId="97" xfId="0" applyFont="1" applyFill="1" applyBorder="1" applyAlignment="1">
      <alignment horizontal="center" vertical="center" wrapText="1"/>
    </xf>
    <xf numFmtId="0" fontId="13" fillId="17" borderId="5" xfId="0" applyFont="1" applyFill="1" applyBorder="1" applyAlignment="1">
      <alignment horizontal="center" vertical="center" wrapText="1"/>
    </xf>
    <xf numFmtId="2" fontId="6" fillId="11" borderId="130" xfId="0" applyNumberFormat="1" applyFont="1" applyFill="1" applyBorder="1" applyAlignment="1">
      <alignment horizontal="center" vertical="center" wrapText="1"/>
    </xf>
    <xf numFmtId="2" fontId="6" fillId="11" borderId="132" xfId="0" applyNumberFormat="1" applyFont="1" applyFill="1" applyBorder="1" applyAlignment="1">
      <alignment horizontal="center" vertical="center" wrapText="1"/>
    </xf>
    <xf numFmtId="2" fontId="6" fillId="11" borderId="114" xfId="0" applyNumberFormat="1" applyFont="1" applyFill="1" applyBorder="1" applyAlignment="1">
      <alignment horizontal="center" vertical="center" wrapText="1"/>
    </xf>
    <xf numFmtId="0" fontId="46" fillId="11" borderId="141" xfId="0" applyFont="1" applyFill="1" applyBorder="1" applyAlignment="1">
      <alignment horizontal="center" vertical="center" wrapText="1"/>
    </xf>
    <xf numFmtId="2" fontId="46" fillId="3" borderId="132" xfId="0" applyNumberFormat="1" applyFont="1" applyFill="1" applyBorder="1" applyAlignment="1">
      <alignment horizontal="center" vertical="center"/>
    </xf>
    <xf numFmtId="0" fontId="13" fillId="3" borderId="130" xfId="0" applyFont="1" applyFill="1" applyBorder="1" applyAlignment="1">
      <alignment horizontal="center" vertical="center" wrapText="1"/>
    </xf>
    <xf numFmtId="0" fontId="13" fillId="3" borderId="132" xfId="0" applyFont="1" applyFill="1" applyBorder="1" applyAlignment="1">
      <alignment horizontal="center" vertical="center" wrapText="1"/>
    </xf>
    <xf numFmtId="0" fontId="13" fillId="3" borderId="12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2" fontId="6" fillId="17" borderId="117" xfId="0" applyNumberFormat="1" applyFont="1" applyFill="1" applyBorder="1" applyAlignment="1">
      <alignment horizontal="center" vertical="center" wrapText="1"/>
    </xf>
    <xf numFmtId="2" fontId="13" fillId="17" borderId="117" xfId="0" applyNumberFormat="1" applyFont="1" applyFill="1" applyBorder="1" applyAlignment="1">
      <alignment horizontal="center" vertical="center" wrapText="1"/>
    </xf>
    <xf numFmtId="2" fontId="46" fillId="17" borderId="122" xfId="0" applyNumberFormat="1" applyFont="1" applyFill="1" applyBorder="1" applyAlignment="1">
      <alignment horizontal="center" vertical="center" wrapText="1"/>
    </xf>
    <xf numFmtId="2" fontId="46" fillId="17" borderId="128" xfId="0" applyNumberFormat="1" applyFont="1" applyFill="1" applyBorder="1" applyAlignment="1">
      <alignment horizontal="center" vertical="center" wrapText="1"/>
    </xf>
    <xf numFmtId="2" fontId="46" fillId="17" borderId="135" xfId="0" applyNumberFormat="1" applyFont="1" applyFill="1" applyBorder="1" applyAlignment="1">
      <alignment horizontal="center" vertical="center" wrapText="1"/>
    </xf>
    <xf numFmtId="2" fontId="46" fillId="17" borderId="136" xfId="0" applyNumberFormat="1" applyFont="1" applyFill="1" applyBorder="1" applyAlignment="1">
      <alignment horizontal="center" vertical="center" wrapText="1"/>
    </xf>
    <xf numFmtId="2" fontId="6" fillId="17" borderId="4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/>
    <xf numFmtId="0" fontId="47" fillId="4" borderId="107" xfId="0" applyFont="1" applyFill="1" applyBorder="1" applyAlignment="1">
      <alignment horizontal="center" vertical="center" wrapText="1" readingOrder="1"/>
    </xf>
    <xf numFmtId="0" fontId="47" fillId="4" borderId="108" xfId="0" applyFont="1" applyFill="1" applyBorder="1" applyAlignment="1">
      <alignment horizontal="center" vertical="center" wrapText="1" readingOrder="1"/>
    </xf>
    <xf numFmtId="0" fontId="48" fillId="11" borderId="109" xfId="0" applyFont="1" applyFill="1" applyBorder="1" applyAlignment="1">
      <alignment horizontal="center" vertical="center" wrapText="1" readingOrder="1"/>
    </xf>
    <xf numFmtId="0" fontId="49" fillId="11" borderId="109" xfId="0" applyFont="1" applyFill="1" applyBorder="1" applyAlignment="1">
      <alignment horizontal="center" vertical="center" wrapText="1" readingOrder="1"/>
    </xf>
    <xf numFmtId="0" fontId="48" fillId="11" borderId="110" xfId="0" applyFont="1" applyFill="1" applyBorder="1" applyAlignment="1">
      <alignment horizontal="center" vertical="center" wrapText="1" readingOrder="1"/>
    </xf>
    <xf numFmtId="0" fontId="49" fillId="11" borderId="110" xfId="0" applyFont="1" applyFill="1" applyBorder="1" applyAlignment="1">
      <alignment horizontal="center" vertical="center" wrapText="1" readingOrder="1"/>
    </xf>
    <xf numFmtId="0" fontId="7" fillId="4" borderId="114" xfId="0" applyFont="1" applyFill="1" applyBorder="1"/>
    <xf numFmtId="0" fontId="47" fillId="4" borderId="107" xfId="0" applyFont="1" applyFill="1" applyBorder="1" applyAlignment="1">
      <alignment horizontal="center" vertical="center" wrapText="1" readingOrder="1"/>
    </xf>
    <xf numFmtId="0" fontId="47" fillId="4" borderId="108" xfId="0" applyFont="1" applyFill="1" applyBorder="1" applyAlignment="1">
      <alignment horizontal="center" vertical="center" wrapText="1" readingOrder="1"/>
    </xf>
    <xf numFmtId="0" fontId="25" fillId="7" borderId="1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justify" vertical="center" wrapText="1"/>
    </xf>
    <xf numFmtId="2" fontId="46" fillId="17" borderId="117" xfId="0" applyNumberFormat="1" applyFont="1" applyFill="1" applyBorder="1" applyAlignment="1">
      <alignment horizontal="center" vertical="center" wrapText="1"/>
    </xf>
    <xf numFmtId="2" fontId="46" fillId="17" borderId="139" xfId="0" applyNumberFormat="1" applyFont="1" applyFill="1" applyBorder="1" applyAlignment="1">
      <alignment horizontal="center" vertical="center" wrapText="1"/>
    </xf>
    <xf numFmtId="0" fontId="52" fillId="4" borderId="108" xfId="0" applyFont="1" applyFill="1" applyBorder="1" applyAlignment="1">
      <alignment horizontal="center" vertical="center" wrapText="1" readingOrder="1"/>
    </xf>
    <xf numFmtId="166" fontId="49" fillId="11" borderId="109" xfId="0" applyNumberFormat="1" applyFont="1" applyFill="1" applyBorder="1" applyAlignment="1">
      <alignment horizontal="center" vertical="center" wrapText="1" readingOrder="1"/>
    </xf>
    <xf numFmtId="0" fontId="33" fillId="8" borderId="1" xfId="0" applyFont="1" applyFill="1" applyBorder="1" applyAlignment="1">
      <alignment horizontal="center" wrapText="1"/>
    </xf>
    <xf numFmtId="0" fontId="33" fillId="8" borderId="18" xfId="0" applyFont="1" applyFill="1" applyBorder="1" applyAlignment="1">
      <alignment horizontal="center" wrapText="1"/>
    </xf>
    <xf numFmtId="0" fontId="33" fillId="8" borderId="143" xfId="0" applyFont="1" applyFill="1" applyBorder="1" applyAlignment="1">
      <alignment horizontal="center" wrapText="1"/>
    </xf>
    <xf numFmtId="168" fontId="31" fillId="2" borderId="81" xfId="0" applyNumberFormat="1" applyFont="1" applyFill="1" applyBorder="1"/>
    <xf numFmtId="168" fontId="31" fillId="2" borderId="144" xfId="0" applyNumberFormat="1" applyFont="1" applyFill="1" applyBorder="1"/>
    <xf numFmtId="168" fontId="31" fillId="2" borderId="145" xfId="0" applyNumberFormat="1" applyFont="1" applyFill="1" applyBorder="1"/>
    <xf numFmtId="168" fontId="11" fillId="2" borderId="79" xfId="0" applyNumberFormat="1" applyFont="1" applyFill="1" applyBorder="1"/>
    <xf numFmtId="168" fontId="11" fillId="2" borderId="146" xfId="0" applyNumberFormat="1" applyFont="1" applyFill="1" applyBorder="1"/>
    <xf numFmtId="168" fontId="11" fillId="2" borderId="80" xfId="0" applyNumberFormat="1" applyFont="1" applyFill="1" applyBorder="1"/>
    <xf numFmtId="168" fontId="11" fillId="2" borderId="147" xfId="0" applyNumberFormat="1" applyFont="1" applyFill="1" applyBorder="1"/>
    <xf numFmtId="168" fontId="11" fillId="2" borderId="61" xfId="0" applyNumberFormat="1" applyFont="1" applyFill="1" applyBorder="1"/>
    <xf numFmtId="168" fontId="11" fillId="2" borderId="148" xfId="0" applyNumberFormat="1" applyFont="1" applyFill="1" applyBorder="1"/>
    <xf numFmtId="168" fontId="11" fillId="2" borderId="64" xfId="0" applyNumberFormat="1" applyFont="1" applyFill="1" applyBorder="1"/>
    <xf numFmtId="0" fontId="25" fillId="7" borderId="0" xfId="0" applyFont="1" applyFill="1" applyBorder="1" applyAlignment="1">
      <alignment horizontal="left" vertical="center"/>
    </xf>
    <xf numFmtId="49" fontId="53" fillId="3" borderId="63" xfId="0" applyNumberFormat="1" applyFont="1" applyFill="1" applyBorder="1" applyAlignment="1">
      <alignment horizontal="right" vertical="center" wrapText="1"/>
    </xf>
    <xf numFmtId="2" fontId="53" fillId="3" borderId="63" xfId="0" applyNumberFormat="1" applyFont="1" applyFill="1" applyBorder="1" applyAlignment="1">
      <alignment horizontal="right" vertical="center" wrapText="1"/>
    </xf>
    <xf numFmtId="3" fontId="53" fillId="3" borderId="63" xfId="0" applyNumberFormat="1" applyFont="1" applyFill="1" applyBorder="1" applyAlignment="1">
      <alignment horizontal="right" vertical="center" wrapText="1"/>
    </xf>
    <xf numFmtId="3" fontId="53" fillId="3" borderId="87" xfId="0" applyNumberFormat="1" applyFont="1" applyFill="1" applyBorder="1" applyAlignment="1">
      <alignment horizontal="right" vertical="center" wrapText="1"/>
    </xf>
    <xf numFmtId="3" fontId="13" fillId="2" borderId="97" xfId="2" applyNumberFormat="1" applyFont="1" applyFill="1" applyBorder="1" applyAlignment="1" applyProtection="1">
      <alignment horizontal="right" vertical="center" shrinkToFit="1"/>
    </xf>
    <xf numFmtId="0" fontId="18" fillId="2" borderId="149" xfId="2" applyFont="1" applyFill="1" applyBorder="1" applyAlignment="1" applyProtection="1">
      <alignment vertical="center"/>
      <protection hidden="1"/>
    </xf>
    <xf numFmtId="0" fontId="18" fillId="2" borderId="106" xfId="2" applyFont="1" applyFill="1" applyBorder="1" applyAlignment="1" applyProtection="1">
      <alignment vertical="center"/>
      <protection hidden="1"/>
    </xf>
    <xf numFmtId="3" fontId="46" fillId="2" borderId="105" xfId="2" applyNumberFormat="1" applyFont="1" applyFill="1" applyBorder="1" applyAlignment="1" applyProtection="1">
      <alignment horizontal="left" vertical="center" shrinkToFit="1"/>
    </xf>
    <xf numFmtId="0" fontId="18" fillId="3" borderId="7" xfId="2" applyFont="1" applyFill="1" applyBorder="1" applyAlignment="1" applyProtection="1">
      <alignment vertical="center"/>
      <protection hidden="1"/>
    </xf>
    <xf numFmtId="3" fontId="13" fillId="3" borderId="15" xfId="2" applyNumberFormat="1" applyFont="1" applyFill="1" applyBorder="1" applyAlignment="1" applyProtection="1">
      <alignment horizontal="right" vertical="center" shrinkToFit="1"/>
    </xf>
    <xf numFmtId="0" fontId="19" fillId="3" borderId="150" xfId="0" applyFont="1" applyFill="1" applyBorder="1" applyAlignment="1">
      <alignment horizontal="center"/>
    </xf>
    <xf numFmtId="0" fontId="22" fillId="0" borderId="0" xfId="0" applyFont="1"/>
    <xf numFmtId="0" fontId="6" fillId="2" borderId="0" xfId="0" applyFont="1" applyFill="1"/>
    <xf numFmtId="0" fontId="7" fillId="5" borderId="3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/>
    </xf>
    <xf numFmtId="0" fontId="24" fillId="7" borderId="22" xfId="0" applyFont="1" applyFill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39" fillId="10" borderId="38" xfId="10" applyFont="1" applyFill="1" applyAlignment="1">
      <alignment horizontal="center" vertical="center"/>
    </xf>
    <xf numFmtId="0" fontId="24" fillId="0" borderId="30" xfId="0" applyFont="1" applyFill="1" applyBorder="1" applyAlignment="1">
      <alignment horizontal="center"/>
    </xf>
    <xf numFmtId="0" fontId="0" fillId="0" borderId="30" xfId="0" applyBorder="1" applyAlignment="1"/>
    <xf numFmtId="0" fontId="30" fillId="4" borderId="11" xfId="0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30" fillId="0" borderId="7" xfId="0" applyFont="1" applyFill="1" applyBorder="1" applyAlignment="1"/>
    <xf numFmtId="0" fontId="0" fillId="0" borderId="7" xfId="0" applyFill="1" applyBorder="1" applyAlignment="1"/>
    <xf numFmtId="0" fontId="40" fillId="0" borderId="77" xfId="9" applyFont="1" applyBorder="1" applyAlignment="1">
      <alignment horizontal="left" vertical="center"/>
    </xf>
    <xf numFmtId="0" fontId="8" fillId="0" borderId="19" xfId="0" applyFont="1" applyBorder="1" applyAlignment="1">
      <alignment horizontal="left"/>
    </xf>
    <xf numFmtId="0" fontId="0" fillId="0" borderId="21" xfId="0" applyBorder="1" applyAlignment="1"/>
    <xf numFmtId="0" fontId="47" fillId="4" borderId="107" xfId="0" applyFont="1" applyFill="1" applyBorder="1" applyAlignment="1">
      <alignment horizontal="center" vertical="center" wrapText="1" readingOrder="1"/>
    </xf>
    <xf numFmtId="0" fontId="47" fillId="4" borderId="108" xfId="0" applyFont="1" applyFill="1" applyBorder="1" applyAlignment="1">
      <alignment horizontal="center" vertical="center" wrapText="1" readingOrder="1"/>
    </xf>
    <xf numFmtId="0" fontId="13" fillId="4" borderId="142" xfId="0" applyFont="1" applyFill="1" applyBorder="1" applyAlignment="1">
      <alignment horizontal="center" vertical="center" wrapText="1"/>
    </xf>
    <xf numFmtId="0" fontId="13" fillId="4" borderId="118" xfId="0" applyFont="1" applyFill="1" applyBorder="1" applyAlignment="1">
      <alignment horizontal="center" vertical="center" wrapText="1"/>
    </xf>
    <xf numFmtId="0" fontId="13" fillId="4" borderId="126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13" fillId="16" borderId="111" xfId="0" applyFont="1" applyFill="1" applyBorder="1" applyAlignment="1">
      <alignment horizontal="center" vertical="center" wrapText="1"/>
    </xf>
    <xf numFmtId="0" fontId="13" fillId="16" borderId="112" xfId="0" applyFont="1" applyFill="1" applyBorder="1" applyAlignment="1">
      <alignment horizontal="center" vertical="center" wrapText="1"/>
    </xf>
    <xf numFmtId="0" fontId="13" fillId="16" borderId="113" xfId="0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horizontal="center" vertical="center" wrapText="1"/>
    </xf>
    <xf numFmtId="0" fontId="13" fillId="16" borderId="12" xfId="0" applyFont="1" applyFill="1" applyBorder="1" applyAlignment="1">
      <alignment horizontal="center" vertical="center" wrapText="1"/>
    </xf>
    <xf numFmtId="0" fontId="32" fillId="11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34" fillId="11" borderId="14" xfId="0" applyFont="1" applyFill="1" applyBorder="1" applyAlignment="1">
      <alignment horizontal="center" vertical="center" wrapText="1"/>
    </xf>
    <xf numFmtId="0" fontId="34" fillId="11" borderId="18" xfId="0" applyFont="1" applyFill="1" applyBorder="1" applyAlignment="1">
      <alignment horizontal="center" vertical="center" wrapText="1"/>
    </xf>
    <xf numFmtId="0" fontId="34" fillId="11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34" fillId="11" borderId="25" xfId="0" applyNumberFormat="1" applyFont="1" applyFill="1" applyBorder="1" applyAlignment="1">
      <alignment horizontal="center" vertical="center" wrapText="1"/>
    </xf>
    <xf numFmtId="3" fontId="34" fillId="11" borderId="26" xfId="0" applyNumberFormat="1" applyFont="1" applyFill="1" applyBorder="1" applyAlignment="1">
      <alignment horizontal="center" vertical="center" wrapText="1"/>
    </xf>
    <xf numFmtId="0" fontId="15" fillId="8" borderId="5" xfId="0" applyNumberFormat="1" applyFont="1" applyFill="1" applyBorder="1" applyAlignment="1">
      <alignment horizontal="center"/>
    </xf>
    <xf numFmtId="0" fontId="15" fillId="8" borderId="97" xfId="0" applyNumberFormat="1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3" fillId="0" borderId="83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/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/>
    <xf numFmtId="0" fontId="15" fillId="8" borderId="29" xfId="0" applyFont="1" applyFill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11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4" borderId="11" xfId="0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28" fillId="4" borderId="13" xfId="0" applyFont="1" applyFill="1" applyBorder="1" applyAlignment="1">
      <alignment horizontal="center"/>
    </xf>
    <xf numFmtId="3" fontId="7" fillId="11" borderId="3" xfId="0" applyNumberFormat="1" applyFont="1" applyFill="1" applyBorder="1" applyAlignment="1">
      <alignment horizontal="left" vertical="center" wrapText="1"/>
    </xf>
    <xf numFmtId="3" fontId="7" fillId="11" borderId="2" xfId="0" applyNumberFormat="1" applyFont="1" applyFill="1" applyBorder="1" applyAlignment="1">
      <alignment horizontal="left" vertical="center" wrapText="1"/>
    </xf>
    <xf numFmtId="3" fontId="7" fillId="11" borderId="1" xfId="0" applyNumberFormat="1" applyFont="1" applyFill="1" applyBorder="1" applyAlignment="1">
      <alignment horizontal="left" vertical="center" wrapText="1"/>
    </xf>
    <xf numFmtId="3" fontId="5" fillId="11" borderId="3" xfId="0" applyNumberFormat="1" applyFont="1" applyFill="1" applyBorder="1" applyAlignment="1">
      <alignment horizontal="center" vertical="center" wrapText="1"/>
    </xf>
    <xf numFmtId="3" fontId="5" fillId="11" borderId="2" xfId="0" applyNumberFormat="1" applyFont="1" applyFill="1" applyBorder="1" applyAlignment="1">
      <alignment horizontal="center" vertical="center" wrapText="1"/>
    </xf>
    <xf numFmtId="3" fontId="13" fillId="11" borderId="25" xfId="0" applyNumberFormat="1" applyFont="1" applyFill="1" applyBorder="1" applyAlignment="1">
      <alignment horizontal="center" vertical="center" wrapText="1"/>
    </xf>
    <xf numFmtId="3" fontId="13" fillId="11" borderId="78" xfId="0" applyNumberFormat="1" applyFont="1" applyFill="1" applyBorder="1" applyAlignment="1">
      <alignment horizontal="center" vertical="center" wrapText="1"/>
    </xf>
    <xf numFmtId="3" fontId="5" fillId="11" borderId="14" xfId="0" applyNumberFormat="1" applyFont="1" applyFill="1" applyBorder="1" applyAlignment="1">
      <alignment horizontal="center" vertical="center" wrapText="1"/>
    </xf>
    <xf numFmtId="3" fontId="5" fillId="11" borderId="17" xfId="0" applyNumberFormat="1" applyFont="1" applyFill="1" applyBorder="1" applyAlignment="1">
      <alignment horizontal="center" vertical="center" wrapText="1"/>
    </xf>
    <xf numFmtId="3" fontId="7" fillId="11" borderId="5" xfId="0" applyNumberFormat="1" applyFont="1" applyFill="1" applyBorder="1" applyAlignment="1">
      <alignment horizontal="center"/>
    </xf>
    <xf numFmtId="3" fontId="7" fillId="11" borderId="4" xfId="0" applyNumberFormat="1" applyFont="1" applyFill="1" applyBorder="1" applyAlignment="1">
      <alignment horizontal="center"/>
    </xf>
    <xf numFmtId="0" fontId="13" fillId="0" borderId="14" xfId="2" applyFont="1" applyFill="1" applyBorder="1" applyAlignment="1" applyProtection="1">
      <alignment horizontal="left" vertical="center"/>
      <protection hidden="1"/>
    </xf>
    <xf numFmtId="0" fontId="13" fillId="0" borderId="17" xfId="2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justify" wrapText="1"/>
    </xf>
    <xf numFmtId="0" fontId="0" fillId="0" borderId="0" xfId="0" applyFont="1" applyAlignment="1">
      <alignment wrapText="1"/>
    </xf>
    <xf numFmtId="0" fontId="0" fillId="0" borderId="0" xfId="0" applyAlignment="1"/>
    <xf numFmtId="3" fontId="7" fillId="6" borderId="6" xfId="0" applyNumberFormat="1" applyFont="1" applyFill="1" applyBorder="1" applyAlignment="1">
      <alignment horizontal="left" vertical="center" wrapText="1"/>
    </xf>
    <xf numFmtId="3" fontId="5" fillId="6" borderId="3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3" fontId="13" fillId="6" borderId="14" xfId="0" applyNumberFormat="1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3" fontId="13" fillId="6" borderId="89" xfId="0" applyNumberFormat="1" applyFont="1" applyFill="1" applyBorder="1" applyAlignment="1">
      <alignment horizontal="center" vertical="center" wrapText="1"/>
    </xf>
    <xf numFmtId="3" fontId="13" fillId="6" borderId="100" xfId="0" applyNumberFormat="1" applyFont="1" applyFill="1" applyBorder="1" applyAlignment="1">
      <alignment horizontal="center" vertical="center" wrapText="1"/>
    </xf>
    <xf numFmtId="3" fontId="7" fillId="6" borderId="3" xfId="0" applyNumberFormat="1" applyFont="1" applyFill="1" applyBorder="1" applyAlignment="1">
      <alignment horizontal="left" vertical="center" wrapText="1"/>
    </xf>
    <xf numFmtId="3" fontId="7" fillId="6" borderId="1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</cellXfs>
  <cellStyles count="11">
    <cellStyle name="Celda de comprobación" xfId="10" builtinId="23"/>
    <cellStyle name="Komma 2" xfId="3"/>
    <cellStyle name="Komma 3" xfId="6"/>
    <cellStyle name="Normal" xfId="0" builtinId="0"/>
    <cellStyle name="Prozent 2" xfId="4"/>
    <cellStyle name="Prozent 3" xfId="7"/>
    <cellStyle name="Standard 2" xfId="1"/>
    <cellStyle name="Standard 3" xfId="2"/>
    <cellStyle name="Título 1" xfId="9" builtinId="16"/>
    <cellStyle name="Währung 2" xfId="5"/>
    <cellStyle name="Währung 3" xfId="8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7BF0D"/>
      <color rgb="FFD7E4BC"/>
      <color rgb="FFDDD9C3"/>
      <color rgb="FFC5BE97"/>
      <color rgb="FFFF00FF"/>
      <color rgb="FF00FFFF"/>
      <color rgb="FFDFF785"/>
      <color rgb="FFD6F565"/>
      <color rgb="FFFFFFCC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COST DIVISION</a:t>
            </a:r>
          </a:p>
        </c:rich>
      </c:tx>
      <c:layout/>
      <c:overlay val="0"/>
    </c:title>
    <c:autoTitleDeleted val="0"/>
    <c:view3D>
      <c:rotX val="75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'4.Production cost'!$J$8:$L$8</c:f>
              <c:strCache>
                <c:ptCount val="3"/>
                <c:pt idx="0">
                  <c:v>Purchasing cost</c:v>
                </c:pt>
                <c:pt idx="1">
                  <c:v>Pre-treatment costs</c:v>
                </c:pt>
                <c:pt idx="2">
                  <c:v>Personnel cost</c:v>
                </c:pt>
              </c:strCache>
            </c:strRef>
          </c:cat>
          <c:val>
            <c:numRef>
              <c:f>'4.Production cost'!$J$9:$L$9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21167</xdr:rowOff>
    </xdr:from>
    <xdr:to>
      <xdr:col>2</xdr:col>
      <xdr:colOff>243417</xdr:colOff>
      <xdr:row>1</xdr:row>
      <xdr:rowOff>427622</xdr:rowOff>
    </xdr:to>
    <xdr:pic>
      <xdr:nvPicPr>
        <xdr:cNvPr id="2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624417" y="211667"/>
          <a:ext cx="2106083" cy="40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52915</xdr:colOff>
      <xdr:row>1</xdr:row>
      <xdr:rowOff>21167</xdr:rowOff>
    </xdr:from>
    <xdr:to>
      <xdr:col>2</xdr:col>
      <xdr:colOff>640290</xdr:colOff>
      <xdr:row>2</xdr:row>
      <xdr:rowOff>6614</xdr:rowOff>
    </xdr:to>
    <xdr:pic>
      <xdr:nvPicPr>
        <xdr:cNvPr id="3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814915" y="211667"/>
          <a:ext cx="2120900" cy="592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52915</xdr:colOff>
      <xdr:row>1</xdr:row>
      <xdr:rowOff>23813</xdr:rowOff>
    </xdr:from>
    <xdr:to>
      <xdr:col>2</xdr:col>
      <xdr:colOff>1333500</xdr:colOff>
      <xdr:row>1</xdr:row>
      <xdr:rowOff>613832</xdr:rowOff>
    </xdr:to>
    <xdr:pic>
      <xdr:nvPicPr>
        <xdr:cNvPr id="2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814915" y="214313"/>
          <a:ext cx="2816491" cy="590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299357</xdr:colOff>
      <xdr:row>24</xdr:row>
      <xdr:rowOff>59871</xdr:rowOff>
    </xdr:from>
    <xdr:to>
      <xdr:col>14</xdr:col>
      <xdr:colOff>556532</xdr:colOff>
      <xdr:row>25</xdr:row>
      <xdr:rowOff>115660</xdr:rowOff>
    </xdr:to>
    <xdr:sp macro="" textlink="">
      <xdr:nvSpPr>
        <xdr:cNvPr id="2" name="1 Flecha izquierda y derecha"/>
        <xdr:cNvSpPr/>
      </xdr:nvSpPr>
      <xdr:spPr>
        <a:xfrm>
          <a:off x="11266714" y="6428014"/>
          <a:ext cx="1318532" cy="246289"/>
        </a:xfrm>
        <a:prstGeom prst="leftRightArrow">
          <a:avLst/>
        </a:prstGeom>
        <a:solidFill>
          <a:srgbClr val="97BF0D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52917</xdr:colOff>
      <xdr:row>1</xdr:row>
      <xdr:rowOff>21167</xdr:rowOff>
    </xdr:from>
    <xdr:to>
      <xdr:col>2</xdr:col>
      <xdr:colOff>134560</xdr:colOff>
      <xdr:row>1</xdr:row>
      <xdr:rowOff>199022</xdr:rowOff>
    </xdr:to>
    <xdr:pic>
      <xdr:nvPicPr>
        <xdr:cNvPr id="5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624417" y="211667"/>
          <a:ext cx="2105025" cy="40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52915</xdr:colOff>
      <xdr:row>1</xdr:row>
      <xdr:rowOff>21167</xdr:rowOff>
    </xdr:from>
    <xdr:to>
      <xdr:col>2</xdr:col>
      <xdr:colOff>531433</xdr:colOff>
      <xdr:row>2</xdr:row>
      <xdr:rowOff>6614</xdr:rowOff>
    </xdr:to>
    <xdr:pic>
      <xdr:nvPicPr>
        <xdr:cNvPr id="6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624415" y="211667"/>
          <a:ext cx="2501900" cy="642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52915</xdr:colOff>
      <xdr:row>1</xdr:row>
      <xdr:rowOff>21167</xdr:rowOff>
    </xdr:from>
    <xdr:to>
      <xdr:col>2</xdr:col>
      <xdr:colOff>1830915</xdr:colOff>
      <xdr:row>1</xdr:row>
      <xdr:rowOff>613833</xdr:rowOff>
    </xdr:to>
    <xdr:pic>
      <xdr:nvPicPr>
        <xdr:cNvPr id="2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814915" y="211667"/>
          <a:ext cx="2116667" cy="592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52915</xdr:colOff>
      <xdr:row>1</xdr:row>
      <xdr:rowOff>21167</xdr:rowOff>
    </xdr:from>
    <xdr:to>
      <xdr:col>3</xdr:col>
      <xdr:colOff>467782</xdr:colOff>
      <xdr:row>1</xdr:row>
      <xdr:rowOff>613833</xdr:rowOff>
    </xdr:to>
    <xdr:pic>
      <xdr:nvPicPr>
        <xdr:cNvPr id="2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814915" y="211667"/>
          <a:ext cx="2120900" cy="592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52915</xdr:colOff>
      <xdr:row>1</xdr:row>
      <xdr:rowOff>21167</xdr:rowOff>
    </xdr:from>
    <xdr:to>
      <xdr:col>3</xdr:col>
      <xdr:colOff>467782</xdr:colOff>
      <xdr:row>1</xdr:row>
      <xdr:rowOff>613833</xdr:rowOff>
    </xdr:to>
    <xdr:pic>
      <xdr:nvPicPr>
        <xdr:cNvPr id="4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1043515" y="211667"/>
          <a:ext cx="2205567" cy="592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232833</xdr:colOff>
      <xdr:row>9</xdr:row>
      <xdr:rowOff>126997</xdr:rowOff>
    </xdr:from>
    <xdr:to>
      <xdr:col>12</xdr:col>
      <xdr:colOff>635000</xdr:colOff>
      <xdr:row>24</xdr:row>
      <xdr:rowOff>169330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52915</xdr:colOff>
      <xdr:row>1</xdr:row>
      <xdr:rowOff>21167</xdr:rowOff>
    </xdr:from>
    <xdr:to>
      <xdr:col>2</xdr:col>
      <xdr:colOff>68790</xdr:colOff>
      <xdr:row>1</xdr:row>
      <xdr:rowOff>613833</xdr:rowOff>
    </xdr:to>
    <xdr:pic>
      <xdr:nvPicPr>
        <xdr:cNvPr id="3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814915" y="211667"/>
          <a:ext cx="2120900" cy="592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52915</xdr:colOff>
      <xdr:row>1</xdr:row>
      <xdr:rowOff>21167</xdr:rowOff>
    </xdr:from>
    <xdr:to>
      <xdr:col>3</xdr:col>
      <xdr:colOff>229657</xdr:colOff>
      <xdr:row>1</xdr:row>
      <xdr:rowOff>613833</xdr:rowOff>
    </xdr:to>
    <xdr:pic>
      <xdr:nvPicPr>
        <xdr:cNvPr id="2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843490" y="211667"/>
          <a:ext cx="2481792" cy="592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52915</xdr:colOff>
      <xdr:row>1</xdr:row>
      <xdr:rowOff>21167</xdr:rowOff>
    </xdr:from>
    <xdr:to>
      <xdr:col>3</xdr:col>
      <xdr:colOff>182032</xdr:colOff>
      <xdr:row>1</xdr:row>
      <xdr:rowOff>613833</xdr:rowOff>
    </xdr:to>
    <xdr:pic>
      <xdr:nvPicPr>
        <xdr:cNvPr id="2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843490" y="211667"/>
          <a:ext cx="2481792" cy="592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52915</xdr:colOff>
      <xdr:row>1</xdr:row>
      <xdr:rowOff>21167</xdr:rowOff>
    </xdr:from>
    <xdr:to>
      <xdr:col>3</xdr:col>
      <xdr:colOff>922865</xdr:colOff>
      <xdr:row>1</xdr:row>
      <xdr:rowOff>613833</xdr:rowOff>
    </xdr:to>
    <xdr:pic>
      <xdr:nvPicPr>
        <xdr:cNvPr id="2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814915" y="211667"/>
          <a:ext cx="3146425" cy="592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topLeftCell="A4" zoomScale="80" zoomScaleNormal="80" workbookViewId="0">
      <selection activeCell="B14" sqref="B14"/>
    </sheetView>
  </sheetViews>
  <sheetFormatPr baseColWidth="10" defaultColWidth="11.42578125" defaultRowHeight="14.25" x14ac:dyDescent="0.2"/>
  <cols>
    <col min="1" max="1" width="8.5703125" style="10" customWidth="1"/>
    <col min="2" max="2" width="28.7109375" style="10" customWidth="1"/>
    <col min="3" max="3" width="9.5703125" style="10" customWidth="1"/>
    <col min="4" max="5" width="11.7109375" style="10" customWidth="1"/>
    <col min="6" max="6" width="3.28515625" style="10" customWidth="1"/>
    <col min="7" max="7" width="10.140625" style="10" customWidth="1"/>
    <col min="8" max="8" width="13.28515625" style="10" customWidth="1"/>
    <col min="9" max="9" width="11.42578125" style="10" customWidth="1"/>
    <col min="10" max="12" width="13.28515625" style="10" customWidth="1"/>
    <col min="13" max="13" width="7.42578125" style="10" customWidth="1"/>
    <col min="14" max="14" width="15.7109375" style="10" customWidth="1"/>
    <col min="15" max="18" width="11.42578125" style="10"/>
    <col min="19" max="19" width="17.42578125" style="10" customWidth="1"/>
    <col min="20" max="16384" width="11.42578125" style="10"/>
  </cols>
  <sheetData>
    <row r="1" spans="2:15" ht="15" thickBot="1" x14ac:dyDescent="0.25"/>
    <row r="2" spans="2:15" s="30" customFormat="1" ht="51.75" customHeight="1" thickTop="1" thickBot="1" x14ac:dyDescent="0.3">
      <c r="B2" s="504" t="s">
        <v>46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</row>
    <row r="3" spans="2:15" s="30" customFormat="1" ht="36.75" customHeight="1" thickTop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15" s="30" customFormat="1" ht="20.25" x14ac:dyDescent="0.25">
      <c r="B4" s="512" t="s">
        <v>45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</row>
    <row r="5" spans="2:15" s="30" customFormat="1" ht="15.75" customHeight="1" thickBot="1" x14ac:dyDescent="0.3"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2:15" s="30" customFormat="1" ht="15.75" customHeight="1" thickBot="1" x14ac:dyDescent="0.3">
      <c r="B6" s="507" t="s">
        <v>39</v>
      </c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9"/>
    </row>
    <row r="7" spans="2:15" s="30" customFormat="1" ht="7.5" customHeight="1" x14ac:dyDescent="0.25">
      <c r="B7" s="510"/>
      <c r="C7" s="511"/>
      <c r="D7" s="511"/>
      <c r="E7" s="511"/>
      <c r="F7" s="511"/>
      <c r="G7" s="511"/>
      <c r="H7" s="511"/>
      <c r="I7" s="511"/>
      <c r="J7" s="511"/>
      <c r="K7" s="511"/>
      <c r="L7" s="511"/>
      <c r="M7" s="511"/>
      <c r="N7" s="511"/>
      <c r="O7" s="511"/>
    </row>
    <row r="8" spans="2:15" ht="15" x14ac:dyDescent="0.25">
      <c r="B8" s="500" t="s">
        <v>28</v>
      </c>
      <c r="C8" s="500"/>
      <c r="D8" s="500"/>
      <c r="E8" s="501"/>
      <c r="F8" s="505"/>
      <c r="G8" s="502" t="s">
        <v>29</v>
      </c>
      <c r="H8" s="503"/>
      <c r="I8" s="503"/>
      <c r="J8" s="503"/>
      <c r="K8" s="503"/>
      <c r="L8" s="503"/>
      <c r="M8" s="503"/>
      <c r="N8" s="503"/>
      <c r="O8" s="503"/>
    </row>
    <row r="9" spans="2:15" ht="15" x14ac:dyDescent="0.25">
      <c r="B9" s="46" t="s">
        <v>27</v>
      </c>
      <c r="C9" s="64"/>
      <c r="D9" s="513" t="s">
        <v>17</v>
      </c>
      <c r="E9" s="514"/>
      <c r="F9" s="506"/>
      <c r="G9" s="68"/>
      <c r="H9" s="65"/>
      <c r="I9" s="65"/>
      <c r="J9" s="65"/>
      <c r="K9" s="65"/>
      <c r="L9" s="65"/>
      <c r="M9" s="65"/>
      <c r="N9" s="65"/>
      <c r="O9" s="65"/>
    </row>
    <row r="10" spans="2:15" ht="13.5" customHeight="1" thickBot="1" x14ac:dyDescent="0.25">
      <c r="B10" s="65"/>
      <c r="C10" s="65"/>
      <c r="D10" s="65"/>
      <c r="E10" s="51"/>
      <c r="F10" s="506"/>
      <c r="G10" s="68"/>
      <c r="H10" s="65"/>
      <c r="I10" s="65"/>
      <c r="J10" s="65"/>
      <c r="K10" s="65"/>
      <c r="L10" s="65"/>
      <c r="M10" s="65"/>
      <c r="N10" s="65"/>
      <c r="O10" s="65"/>
    </row>
    <row r="11" spans="2:15" ht="78.75" customHeight="1" thickTop="1" x14ac:dyDescent="0.2">
      <c r="B11" s="498" t="s">
        <v>59</v>
      </c>
      <c r="C11" s="47" t="s">
        <v>21</v>
      </c>
      <c r="D11" s="48" t="s">
        <v>61</v>
      </c>
      <c r="E11" s="52" t="s">
        <v>30</v>
      </c>
      <c r="F11" s="506"/>
      <c r="G11" s="230" t="s">
        <v>95</v>
      </c>
      <c r="H11" s="231" t="s">
        <v>96</v>
      </c>
      <c r="I11" s="231" t="s">
        <v>97</v>
      </c>
      <c r="J11" s="231" t="s">
        <v>98</v>
      </c>
      <c r="K11" s="55" t="s">
        <v>32</v>
      </c>
      <c r="L11" s="63" t="s">
        <v>31</v>
      </c>
      <c r="M11" s="56" t="s">
        <v>4</v>
      </c>
      <c r="N11" s="56" t="s">
        <v>7</v>
      </c>
      <c r="O11" s="60" t="s">
        <v>2</v>
      </c>
    </row>
    <row r="12" spans="2:15" x14ac:dyDescent="0.2">
      <c r="B12" s="499"/>
      <c r="C12" s="49" t="s">
        <v>16</v>
      </c>
      <c r="D12" s="50" t="s">
        <v>16</v>
      </c>
      <c r="E12" s="53" t="s">
        <v>35</v>
      </c>
      <c r="F12" s="506"/>
      <c r="G12" s="69" t="s">
        <v>16</v>
      </c>
      <c r="H12" s="57" t="s">
        <v>35</v>
      </c>
      <c r="I12" s="57" t="s">
        <v>16</v>
      </c>
      <c r="J12" s="57" t="s">
        <v>35</v>
      </c>
      <c r="K12" s="57" t="s">
        <v>16</v>
      </c>
      <c r="L12" s="59" t="s">
        <v>17</v>
      </c>
      <c r="M12" s="58" t="s">
        <v>18</v>
      </c>
      <c r="N12" s="58" t="s">
        <v>18</v>
      </c>
      <c r="O12" s="61" t="s">
        <v>62</v>
      </c>
    </row>
    <row r="13" spans="2:15" ht="24" customHeight="1" x14ac:dyDescent="0.2">
      <c r="B13" s="81" t="s">
        <v>134</v>
      </c>
      <c r="C13" s="85"/>
      <c r="D13" s="86"/>
      <c r="E13" s="87">
        <f>$C$9*C13/100</f>
        <v>0</v>
      </c>
      <c r="F13" s="506"/>
      <c r="G13" s="91"/>
      <c r="H13" s="92">
        <f>E13*(100-D13)/(100-G13)</f>
        <v>0</v>
      </c>
      <c r="I13" s="93"/>
      <c r="J13" s="92">
        <f>E13*(100-D13)/(100-I13)</f>
        <v>0</v>
      </c>
      <c r="K13" s="97"/>
      <c r="L13" s="102">
        <f>E13*(100-D13)/(100-K13)</f>
        <v>0</v>
      </c>
      <c r="M13" s="100"/>
      <c r="N13" s="104">
        <v>0</v>
      </c>
      <c r="O13" s="106">
        <f>(L13*M13)+(L13*N13)</f>
        <v>0</v>
      </c>
    </row>
    <row r="14" spans="2:15" x14ac:dyDescent="0.2">
      <c r="B14" s="466" t="s">
        <v>134</v>
      </c>
      <c r="C14" s="88"/>
      <c r="D14" s="89"/>
      <c r="E14" s="90">
        <f>$C$9*C14/100</f>
        <v>0</v>
      </c>
      <c r="F14" s="506"/>
      <c r="G14" s="94"/>
      <c r="H14" s="95">
        <f>E14*(100-D14)/(100-G14)</f>
        <v>0</v>
      </c>
      <c r="I14" s="96"/>
      <c r="J14" s="95">
        <f>E14*(100-D14)/(100-I14)</f>
        <v>0</v>
      </c>
      <c r="K14" s="98"/>
      <c r="L14" s="103">
        <f>E14*(100-D14)/(100-K14)</f>
        <v>0</v>
      </c>
      <c r="M14" s="101"/>
      <c r="N14" s="105">
        <v>0</v>
      </c>
      <c r="O14" s="107">
        <f>(L14*M14)+(L14*N14)</f>
        <v>0</v>
      </c>
    </row>
    <row r="15" spans="2:15" ht="15.75" thickBot="1" x14ac:dyDescent="0.3">
      <c r="B15" s="16" t="s">
        <v>5</v>
      </c>
      <c r="C15" s="13"/>
      <c r="D15" s="14"/>
      <c r="E15" s="54">
        <f>SUM(E13:E14)</f>
        <v>0</v>
      </c>
      <c r="F15" s="506"/>
      <c r="G15" s="70"/>
      <c r="H15" s="15"/>
      <c r="I15" s="15"/>
      <c r="J15" s="14"/>
      <c r="K15" s="99"/>
      <c r="L15" s="62">
        <f>SUM(L13:L14)</f>
        <v>0</v>
      </c>
      <c r="M15" s="15"/>
      <c r="N15" s="15">
        <f>SUM(N13:N14)</f>
        <v>0</v>
      </c>
      <c r="O15" s="62">
        <f>SUM(O13:O14)</f>
        <v>0</v>
      </c>
    </row>
    <row r="16" spans="2:15" ht="15" thickTop="1" x14ac:dyDescent="0.2">
      <c r="M16" s="7"/>
      <c r="N16" s="7"/>
      <c r="O16" s="7"/>
    </row>
    <row r="17" spans="2:4" x14ac:dyDescent="0.2">
      <c r="B17" s="10" t="s">
        <v>60</v>
      </c>
    </row>
    <row r="19" spans="2:4" x14ac:dyDescent="0.2">
      <c r="B19" s="258"/>
      <c r="C19" s="258"/>
      <c r="D19" s="258"/>
    </row>
    <row r="20" spans="2:4" x14ac:dyDescent="0.2">
      <c r="B20" s="258"/>
      <c r="C20" s="258"/>
      <c r="D20" s="258"/>
    </row>
    <row r="21" spans="2:4" x14ac:dyDescent="0.2">
      <c r="B21" s="258"/>
      <c r="C21" s="258"/>
      <c r="D21" s="258"/>
    </row>
    <row r="22" spans="2:4" x14ac:dyDescent="0.2">
      <c r="B22" s="258"/>
    </row>
    <row r="23" spans="2:4" x14ac:dyDescent="0.2">
      <c r="B23" s="258"/>
    </row>
  </sheetData>
  <mergeCells count="9">
    <mergeCell ref="B11:B12"/>
    <mergeCell ref="B8:E8"/>
    <mergeCell ref="G8:O8"/>
    <mergeCell ref="B2:O2"/>
    <mergeCell ref="F8:F15"/>
    <mergeCell ref="B6:O6"/>
    <mergeCell ref="B7:O7"/>
    <mergeCell ref="B4:O4"/>
    <mergeCell ref="D9:E9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showGridLines="0" topLeftCell="A4" zoomScale="70" zoomScaleNormal="70" workbookViewId="0">
      <selection activeCell="C24" sqref="C24"/>
    </sheetView>
  </sheetViews>
  <sheetFormatPr baseColWidth="10" defaultRowHeight="15" x14ac:dyDescent="0.25"/>
  <cols>
    <col min="2" max="2" width="23" customWidth="1"/>
    <col min="3" max="4" width="27.42578125" customWidth="1"/>
    <col min="5" max="6" width="28.42578125" bestFit="1" customWidth="1"/>
    <col min="7" max="7" width="28.7109375" bestFit="1" customWidth="1"/>
    <col min="8" max="8" width="28.5703125" bestFit="1" customWidth="1"/>
    <col min="9" max="9" width="28" bestFit="1" customWidth="1"/>
    <col min="10" max="10" width="28.28515625" bestFit="1" customWidth="1"/>
    <col min="11" max="11" width="28.5703125" bestFit="1" customWidth="1"/>
    <col min="12" max="12" width="28.42578125" bestFit="1" customWidth="1"/>
    <col min="13" max="13" width="28.7109375" bestFit="1" customWidth="1"/>
    <col min="14" max="14" width="28.5703125" bestFit="1" customWidth="1"/>
  </cols>
  <sheetData>
    <row r="1" spans="2:16" s="10" customFormat="1" thickBot="1" x14ac:dyDescent="0.25"/>
    <row r="2" spans="2:16" s="30" customFormat="1" ht="51.75" customHeight="1" thickTop="1" thickBot="1" x14ac:dyDescent="0.3">
      <c r="B2" s="504" t="s">
        <v>46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</row>
    <row r="3" spans="2:16" s="30" customFormat="1" ht="36.75" customHeight="1" thickTop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s="30" customFormat="1" ht="20.25" x14ac:dyDescent="0.25">
      <c r="B4" s="512" t="s">
        <v>223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</row>
    <row r="6" spans="2:16" x14ac:dyDescent="0.25">
      <c r="B6" s="79" t="s">
        <v>39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</row>
    <row r="7" spans="2:16" x14ac:dyDescent="0.25">
      <c r="B7" s="281" t="s">
        <v>15</v>
      </c>
      <c r="C7" s="282"/>
      <c r="D7" s="325">
        <v>0</v>
      </c>
      <c r="E7" s="325">
        <v>1</v>
      </c>
      <c r="F7" s="325">
        <v>2</v>
      </c>
      <c r="G7" s="325">
        <v>3</v>
      </c>
      <c r="H7" s="325">
        <v>4</v>
      </c>
      <c r="I7" s="325">
        <v>5</v>
      </c>
      <c r="J7" s="325">
        <v>6</v>
      </c>
      <c r="K7" s="325">
        <v>7</v>
      </c>
      <c r="L7" s="325">
        <v>8</v>
      </c>
      <c r="M7" s="325">
        <v>9</v>
      </c>
      <c r="N7" s="325">
        <v>10</v>
      </c>
    </row>
    <row r="8" spans="2:16" x14ac:dyDescent="0.25">
      <c r="B8" t="s">
        <v>128</v>
      </c>
      <c r="C8" s="333"/>
      <c r="D8" s="6"/>
      <c r="E8">
        <v>1</v>
      </c>
      <c r="F8" s="334">
        <f>E8+E8*$C$8</f>
        <v>1</v>
      </c>
      <c r="G8" s="334">
        <f t="shared" ref="G8:N8" si="0">F8+F8*$C$8</f>
        <v>1</v>
      </c>
      <c r="H8" s="334">
        <f t="shared" si="0"/>
        <v>1</v>
      </c>
      <c r="I8" s="334">
        <f t="shared" si="0"/>
        <v>1</v>
      </c>
      <c r="J8" s="334">
        <f t="shared" si="0"/>
        <v>1</v>
      </c>
      <c r="K8" s="334">
        <f t="shared" si="0"/>
        <v>1</v>
      </c>
      <c r="L8" s="334">
        <f t="shared" si="0"/>
        <v>1</v>
      </c>
      <c r="M8" s="334">
        <f t="shared" si="0"/>
        <v>1</v>
      </c>
      <c r="N8" s="334">
        <f t="shared" si="0"/>
        <v>1</v>
      </c>
    </row>
    <row r="9" spans="2:16" x14ac:dyDescent="0.25">
      <c r="B9" t="s">
        <v>129</v>
      </c>
      <c r="C9" s="6"/>
      <c r="D9" s="6"/>
      <c r="E9">
        <f>'1.Raw material purchasing cost'!C9</f>
        <v>0</v>
      </c>
      <c r="F9" s="334">
        <f>E9*$C$8+E9</f>
        <v>0</v>
      </c>
      <c r="G9" s="334">
        <f t="shared" ref="G9:N9" si="1">F9*$C$8+F9</f>
        <v>0</v>
      </c>
      <c r="H9" s="334">
        <f t="shared" si="1"/>
        <v>0</v>
      </c>
      <c r="I9" s="334">
        <f t="shared" si="1"/>
        <v>0</v>
      </c>
      <c r="J9" s="334">
        <f t="shared" si="1"/>
        <v>0</v>
      </c>
      <c r="K9" s="334">
        <f t="shared" si="1"/>
        <v>0</v>
      </c>
      <c r="L9" s="334">
        <f t="shared" si="1"/>
        <v>0</v>
      </c>
      <c r="M9" s="334">
        <f t="shared" si="1"/>
        <v>0</v>
      </c>
      <c r="N9" s="334">
        <f t="shared" si="1"/>
        <v>0</v>
      </c>
    </row>
    <row r="10" spans="2:16" x14ac:dyDescent="0.25">
      <c r="B10" s="283" t="s">
        <v>87</v>
      </c>
      <c r="C10" s="284" t="s">
        <v>220</v>
      </c>
      <c r="D10" s="315">
        <f>'5.Investment'!C10</f>
        <v>0</v>
      </c>
      <c r="E10" s="315">
        <f>IF(E7&gt;'5.Investment'!D10,0,'5.Investment'!E10)</f>
        <v>0</v>
      </c>
      <c r="F10" s="315">
        <f>IF(F7&gt;'5.Investment'!D10,0,'5.Investment'!E10)</f>
        <v>0</v>
      </c>
      <c r="G10" s="315">
        <f>IF(G7&gt;'5.Investment'!D10,0,'5.Investment'!E10)</f>
        <v>0</v>
      </c>
      <c r="H10" s="315">
        <f>IF(H7&gt;'5.Investment'!D10,0,'5.Investment'!E10)</f>
        <v>0</v>
      </c>
      <c r="I10" s="315">
        <f>IF(I7&gt;'5.Investment'!D10,0,'5.Investment'!E10)</f>
        <v>0</v>
      </c>
      <c r="J10" s="315">
        <f>IF(J7&gt;'5.Investment'!D10,0,'5.Investment'!E10)</f>
        <v>0</v>
      </c>
      <c r="K10" s="315">
        <f>IF(K7&gt;'5.Investment'!D10,0,'5.Investment'!E10)</f>
        <v>0</v>
      </c>
      <c r="L10" s="315">
        <f>IF(L7&gt;'5.Investment'!D10,0,'5.Investment'!E10)</f>
        <v>0</v>
      </c>
      <c r="M10" s="315">
        <f>IF(M7&gt;'5.Investment'!D10,0,'5.Investment'!E10)</f>
        <v>0</v>
      </c>
      <c r="N10" s="315">
        <f>IF(N7&gt;'5.Investment'!D10,0,'5.Investment'!E10)</f>
        <v>0</v>
      </c>
    </row>
    <row r="11" spans="2:16" x14ac:dyDescent="0.25">
      <c r="B11" s="305"/>
      <c r="C11" s="261" t="s">
        <v>221</v>
      </c>
      <c r="D11" s="304">
        <f>'5.Investment'!C11</f>
        <v>0</v>
      </c>
      <c r="E11" s="304">
        <f>IF(E7&gt;'5.Investment'!D11,0,'5.Investment'!E11)</f>
        <v>0</v>
      </c>
      <c r="F11" s="304">
        <f>IF(F7&gt;'5.Investment'!D11,0,'5.Investment'!E11)</f>
        <v>0</v>
      </c>
      <c r="G11" s="304">
        <f>IF(G7&gt;'5.Investment'!D11,0,'5.Investment'!E11)</f>
        <v>0</v>
      </c>
      <c r="H11" s="304">
        <f>IF(H7&gt;'5.Investment'!D11,0,'5.Investment'!E11)</f>
        <v>0</v>
      </c>
      <c r="I11" s="304">
        <f>IF(I7&gt;'5.Investment'!D11,0,'5.Investment'!E11)</f>
        <v>0</v>
      </c>
      <c r="J11" s="304">
        <f>IF(J7&gt;'5.Investment'!D11,0,'5.Investment'!E11)</f>
        <v>0</v>
      </c>
      <c r="K11" s="304">
        <f>IF(K7&gt;'5.Investment'!D11,0,'5.Investment'!E11)</f>
        <v>0</v>
      </c>
      <c r="L11" s="304">
        <f>IF(L7&gt;'5.Investment'!D11,0,'5.Investment'!E11)</f>
        <v>0</v>
      </c>
      <c r="M11" s="304">
        <f>IF(M7&gt;'5.Investment'!D11,0,'5.Investment'!E11)</f>
        <v>0</v>
      </c>
      <c r="N11" s="304">
        <f>IF(N7&gt;'5.Investment'!D11,0,'5.Investment'!E11)</f>
        <v>0</v>
      </c>
    </row>
    <row r="12" spans="2:16" x14ac:dyDescent="0.25">
      <c r="B12" s="305"/>
      <c r="C12" s="261" t="s">
        <v>222</v>
      </c>
      <c r="D12" s="304">
        <f>'5.Investment'!C12</f>
        <v>0</v>
      </c>
      <c r="E12" s="304">
        <f>IF(E7&gt;'5.Investment'!D12,0,'5.Investment'!E12)</f>
        <v>0</v>
      </c>
      <c r="F12" s="304">
        <f>IF(F7&gt;'5.Investment'!D12,0,'5.Investment'!E12)</f>
        <v>0</v>
      </c>
      <c r="G12" s="304">
        <f>IF(G7&gt;'5.Investment'!D12,0,'5.Investment'!E12)</f>
        <v>0</v>
      </c>
      <c r="H12" s="304">
        <f>IF(H7&gt;'5.Investment'!D12,0,'5.Investment'!E12)</f>
        <v>0</v>
      </c>
      <c r="I12" s="304">
        <f>IF(I7&gt;'5.Investment'!D12,0,'5.Investment'!E12)</f>
        <v>0</v>
      </c>
      <c r="J12" s="304">
        <f>IF(J7&gt;'5.Investment'!D12,0,'5.Investment'!E12)</f>
        <v>0</v>
      </c>
      <c r="K12" s="304">
        <f>IF(K7&gt;'5.Investment'!D12,0,'5.Investment'!E12)</f>
        <v>0</v>
      </c>
      <c r="L12" s="304">
        <f>IF(L7&gt;'5.Investment'!D12,0,'5.Investment'!E12)</f>
        <v>0</v>
      </c>
      <c r="M12" s="304">
        <f>IF(M7&gt;'5.Investment'!D12,0,'5.Investment'!E12)</f>
        <v>0</v>
      </c>
      <c r="N12" s="304">
        <f>IF(N7&gt;'5.Investment'!D12,0,'5.Investment'!E12)</f>
        <v>0</v>
      </c>
    </row>
    <row r="13" spans="2:16" x14ac:dyDescent="0.25">
      <c r="B13" s="288"/>
      <c r="C13" s="261" t="s">
        <v>86</v>
      </c>
      <c r="D13" s="261"/>
      <c r="E13" s="316">
        <f>'1.Raw material purchasing cost'!O15</f>
        <v>0</v>
      </c>
      <c r="F13" s="289">
        <f>E13*F8</f>
        <v>0</v>
      </c>
      <c r="G13" s="289">
        <f>E13*G8</f>
        <v>0</v>
      </c>
      <c r="H13" s="289">
        <f>E13*H8</f>
        <v>0</v>
      </c>
      <c r="I13" s="289">
        <f>E13*I8</f>
        <v>0</v>
      </c>
      <c r="J13" s="289">
        <f>E13*J8</f>
        <v>0</v>
      </c>
      <c r="K13" s="289">
        <f>E13*K8</f>
        <v>0</v>
      </c>
      <c r="L13" s="289">
        <f>E13*L8</f>
        <v>0</v>
      </c>
      <c r="M13" s="289">
        <f>E13*M8</f>
        <v>0</v>
      </c>
      <c r="N13" s="289">
        <f>E13*N8</f>
        <v>0</v>
      </c>
    </row>
    <row r="14" spans="2:16" x14ac:dyDescent="0.25">
      <c r="B14" s="288"/>
      <c r="C14" s="261" t="s">
        <v>48</v>
      </c>
      <c r="D14" s="261"/>
      <c r="E14" s="316" t="e">
        <f>'2.Pretreatment costs'!J71</f>
        <v>#DIV/0!</v>
      </c>
      <c r="F14" s="289" t="e">
        <f>E14*F8</f>
        <v>#DIV/0!</v>
      </c>
      <c r="G14" s="289" t="e">
        <f>E14*G8</f>
        <v>#DIV/0!</v>
      </c>
      <c r="H14" s="289" t="e">
        <f>E14*H8</f>
        <v>#DIV/0!</v>
      </c>
      <c r="I14" s="289" t="e">
        <f>E14*I8</f>
        <v>#DIV/0!</v>
      </c>
      <c r="J14" s="289" t="e">
        <f>E14*J8</f>
        <v>#DIV/0!</v>
      </c>
      <c r="K14" s="289" t="e">
        <f>E14*K8</f>
        <v>#DIV/0!</v>
      </c>
      <c r="L14" s="289" t="e">
        <f>E14*L8</f>
        <v>#DIV/0!</v>
      </c>
      <c r="M14" s="289" t="e">
        <f>E14*M8</f>
        <v>#DIV/0!</v>
      </c>
      <c r="N14" s="289" t="e">
        <f>E14*N8</f>
        <v>#DIV/0!</v>
      </c>
    </row>
    <row r="15" spans="2:16" x14ac:dyDescent="0.25">
      <c r="B15" s="288"/>
      <c r="C15" s="261" t="s">
        <v>99</v>
      </c>
      <c r="D15" s="261"/>
      <c r="E15" s="269">
        <f>'3.Personnel costs'!H29</f>
        <v>0</v>
      </c>
      <c r="F15" s="289">
        <f>E15*F8</f>
        <v>0</v>
      </c>
      <c r="G15" s="289">
        <f>E15*G8</f>
        <v>0</v>
      </c>
      <c r="H15" s="289">
        <f>E15*H8</f>
        <v>0</v>
      </c>
      <c r="I15" s="289">
        <f>E15*I8</f>
        <v>0</v>
      </c>
      <c r="J15" s="289">
        <f>E15*J8</f>
        <v>0</v>
      </c>
      <c r="K15" s="289">
        <f>E15*K8</f>
        <v>0</v>
      </c>
      <c r="L15" s="289">
        <f>E15*L8</f>
        <v>0</v>
      </c>
      <c r="M15" s="289">
        <f>E15*M8</f>
        <v>0</v>
      </c>
      <c r="N15" s="289">
        <f>E15*N8</f>
        <v>0</v>
      </c>
    </row>
    <row r="16" spans="2:16" x14ac:dyDescent="0.25">
      <c r="B16" s="288"/>
      <c r="C16" s="261" t="s">
        <v>123</v>
      </c>
      <c r="D16" s="261"/>
      <c r="E16" s="269">
        <f>'7.Minimum selling price'!D11*'7.Minimum selling price'!F11</f>
        <v>0</v>
      </c>
      <c r="F16" s="289">
        <f>E16*F8</f>
        <v>0</v>
      </c>
      <c r="G16" s="289">
        <f>E16*G8</f>
        <v>0</v>
      </c>
      <c r="H16" s="289">
        <f>E16*H8</f>
        <v>0</v>
      </c>
      <c r="I16" s="289">
        <f>E16*I8</f>
        <v>0</v>
      </c>
      <c r="J16" s="289">
        <f>E16*J8</f>
        <v>0</v>
      </c>
      <c r="K16" s="289">
        <f>E16*K8</f>
        <v>0</v>
      </c>
      <c r="L16" s="289">
        <f>E16*L8</f>
        <v>0</v>
      </c>
      <c r="M16" s="289">
        <f>E16*M8</f>
        <v>0</v>
      </c>
      <c r="N16" s="289">
        <f>E16*N8</f>
        <v>0</v>
      </c>
    </row>
    <row r="17" spans="2:14" x14ac:dyDescent="0.25">
      <c r="B17" s="291"/>
      <c r="C17" s="292"/>
      <c r="D17" s="292"/>
      <c r="E17" s="293"/>
      <c r="F17" s="282"/>
      <c r="G17" s="282"/>
      <c r="H17" s="282"/>
      <c r="I17" s="282"/>
      <c r="J17" s="282"/>
      <c r="K17" s="282"/>
      <c r="L17" s="282"/>
      <c r="M17" s="282"/>
      <c r="N17" s="294"/>
    </row>
    <row r="18" spans="2:14" x14ac:dyDescent="0.25">
      <c r="B18" s="271"/>
      <c r="C18" s="261"/>
      <c r="D18" s="261"/>
      <c r="E18" s="289"/>
      <c r="F18" s="271"/>
      <c r="G18" s="271"/>
      <c r="H18" s="271"/>
      <c r="I18" s="271"/>
      <c r="J18" s="271"/>
      <c r="K18" s="271"/>
      <c r="L18" s="271"/>
      <c r="M18" s="271"/>
      <c r="N18" s="271"/>
    </row>
    <row r="19" spans="2:14" x14ac:dyDescent="0.25">
      <c r="B19" s="265" t="s">
        <v>115</v>
      </c>
      <c r="C19" s="295" t="s">
        <v>14</v>
      </c>
      <c r="D19" s="295"/>
      <c r="E19" s="296">
        <f>'8.Evaluation of competitiveness'!H27</f>
        <v>0</v>
      </c>
      <c r="F19" s="296">
        <f>E19*F8</f>
        <v>0</v>
      </c>
      <c r="G19" s="296">
        <f>E19*G8</f>
        <v>0</v>
      </c>
      <c r="H19" s="296">
        <f>E19*H8</f>
        <v>0</v>
      </c>
      <c r="I19" s="296">
        <f>E19*I8</f>
        <v>0</v>
      </c>
      <c r="J19" s="296">
        <f>E19*J8</f>
        <v>0</v>
      </c>
      <c r="K19" s="296">
        <f>E19*K8</f>
        <v>0</v>
      </c>
      <c r="L19" s="296">
        <f>E19*L8</f>
        <v>0</v>
      </c>
      <c r="M19" s="296">
        <f>E19*M8</f>
        <v>0</v>
      </c>
      <c r="N19" s="296">
        <f>E19*N8</f>
        <v>0</v>
      </c>
    </row>
    <row r="20" spans="2:14" x14ac:dyDescent="0.25">
      <c r="C20" s="5"/>
      <c r="D20" s="5"/>
      <c r="E20" s="259"/>
    </row>
    <row r="21" spans="2:14" x14ac:dyDescent="0.25">
      <c r="B21" s="297" t="s">
        <v>88</v>
      </c>
      <c r="C21" s="284"/>
      <c r="D21" s="285">
        <f>SUM(D19:D19)-SUM(D10:D16)</f>
        <v>0</v>
      </c>
      <c r="E21" s="317" t="e">
        <f>SUM(E19:E19)-SUM(E10:E16)</f>
        <v>#DIV/0!</v>
      </c>
      <c r="F21" s="317" t="e">
        <f t="shared" ref="F21:N21" si="2">SUM(F19:F19)-SUM(F10:F16)</f>
        <v>#DIV/0!</v>
      </c>
      <c r="G21" s="317" t="e">
        <f t="shared" si="2"/>
        <v>#DIV/0!</v>
      </c>
      <c r="H21" s="317" t="e">
        <f t="shared" si="2"/>
        <v>#DIV/0!</v>
      </c>
      <c r="I21" s="317" t="e">
        <f t="shared" si="2"/>
        <v>#DIV/0!</v>
      </c>
      <c r="J21" s="317" t="e">
        <f t="shared" si="2"/>
        <v>#DIV/0!</v>
      </c>
      <c r="K21" s="317" t="e">
        <f t="shared" si="2"/>
        <v>#DIV/0!</v>
      </c>
      <c r="L21" s="317" t="e">
        <f t="shared" si="2"/>
        <v>#DIV/0!</v>
      </c>
      <c r="M21" s="317" t="e">
        <f t="shared" si="2"/>
        <v>#DIV/0!</v>
      </c>
      <c r="N21" s="317" t="e">
        <f t="shared" si="2"/>
        <v>#DIV/0!</v>
      </c>
    </row>
    <row r="22" spans="2:14" x14ac:dyDescent="0.25">
      <c r="B22" s="298" t="s">
        <v>89</v>
      </c>
      <c r="C22" s="292"/>
      <c r="D22" s="299">
        <f>D21</f>
        <v>0</v>
      </c>
      <c r="E22" s="293" t="e">
        <f>SUM($D21:E$21)</f>
        <v>#DIV/0!</v>
      </c>
      <c r="F22" s="293" t="e">
        <f>SUM($D21:F$21)</f>
        <v>#DIV/0!</v>
      </c>
      <c r="G22" s="293" t="e">
        <f>SUM($D21:G$21)</f>
        <v>#DIV/0!</v>
      </c>
      <c r="H22" s="293" t="e">
        <f>SUM($D21:H$21)</f>
        <v>#DIV/0!</v>
      </c>
      <c r="I22" s="293" t="e">
        <f>SUM($D21:I$21)</f>
        <v>#DIV/0!</v>
      </c>
      <c r="J22" s="293" t="e">
        <f>SUM($D21:J$21)</f>
        <v>#DIV/0!</v>
      </c>
      <c r="K22" s="293" t="e">
        <f>SUM($D21:K$21)</f>
        <v>#DIV/0!</v>
      </c>
      <c r="L22" s="293" t="e">
        <f>SUM($D21:L$21)</f>
        <v>#DIV/0!</v>
      </c>
      <c r="M22" s="293" t="e">
        <f>SUM($D21:M$21)</f>
        <v>#DIV/0!</v>
      </c>
      <c r="N22" s="300" t="e">
        <f>SUM($D21:N$21)</f>
        <v>#DIV/0!</v>
      </c>
    </row>
    <row r="23" spans="2:14" x14ac:dyDescent="0.25">
      <c r="B23" s="9"/>
      <c r="C23" s="5"/>
      <c r="D23" s="45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x14ac:dyDescent="0.25">
      <c r="B24" s="301" t="s">
        <v>91</v>
      </c>
      <c r="C24" s="302" t="e">
        <f>IRR(D21:N21)</f>
        <v>#VALUE!</v>
      </c>
      <c r="D24" s="302"/>
      <c r="E24" s="286"/>
      <c r="F24" s="286"/>
      <c r="G24" s="286"/>
      <c r="H24" s="286"/>
      <c r="I24" s="286"/>
      <c r="J24" s="286"/>
      <c r="K24" s="286"/>
      <c r="L24" s="286"/>
      <c r="M24" s="286"/>
      <c r="N24" s="287"/>
    </row>
    <row r="25" spans="2:14" x14ac:dyDescent="0.25">
      <c r="B25" s="303" t="s">
        <v>90</v>
      </c>
      <c r="C25" s="304" t="e">
        <f>NPV(C28,E21:N21)+D21</f>
        <v>#DIV/0!</v>
      </c>
      <c r="D25" s="304"/>
      <c r="E25" s="271"/>
      <c r="F25" s="271"/>
      <c r="G25" s="271"/>
      <c r="H25" s="271"/>
      <c r="I25" s="271"/>
      <c r="J25" s="271"/>
      <c r="K25" s="271"/>
      <c r="L25" s="271"/>
      <c r="M25" s="271"/>
      <c r="N25" s="290"/>
    </row>
    <row r="26" spans="2:14" x14ac:dyDescent="0.25">
      <c r="B26" s="305" t="s">
        <v>92</v>
      </c>
      <c r="C26" s="271"/>
      <c r="D26" s="271"/>
      <c r="E26" s="306" t="e">
        <f>E21*100/SUM(E19:E19)</f>
        <v>#DIV/0!</v>
      </c>
      <c r="F26" s="306" t="e">
        <f t="shared" ref="F26:N26" si="3">F21*100/SUM(F19:F19)</f>
        <v>#DIV/0!</v>
      </c>
      <c r="G26" s="306" t="e">
        <f t="shared" si="3"/>
        <v>#DIV/0!</v>
      </c>
      <c r="H26" s="306" t="e">
        <f t="shared" si="3"/>
        <v>#DIV/0!</v>
      </c>
      <c r="I26" s="306" t="e">
        <f t="shared" si="3"/>
        <v>#DIV/0!</v>
      </c>
      <c r="J26" s="306" t="e">
        <f t="shared" si="3"/>
        <v>#DIV/0!</v>
      </c>
      <c r="K26" s="306" t="e">
        <f t="shared" si="3"/>
        <v>#DIV/0!</v>
      </c>
      <c r="L26" s="306" t="e">
        <f t="shared" si="3"/>
        <v>#DIV/0!</v>
      </c>
      <c r="M26" s="306" t="e">
        <f t="shared" si="3"/>
        <v>#DIV/0!</v>
      </c>
      <c r="N26" s="306" t="e">
        <f t="shared" si="3"/>
        <v>#DIV/0!</v>
      </c>
    </row>
    <row r="27" spans="2:14" x14ac:dyDescent="0.25">
      <c r="B27" s="307" t="s">
        <v>25</v>
      </c>
      <c r="C27" s="308" t="e">
        <f>IF(E22&gt;0,E7, IF(F22&gt;0,F7,IF(G22&gt;0,G7, IF(H22&gt;0,H7, IF(I22&gt;0,I7,IF(J22&gt;0,J7,IF(K22&gt;0,K7,IF(L22&gt;0,L7,IF(M22&gt;0,M7,IF(N22&gt;0,N7,"&gt;10"))))))))))</f>
        <v>#DIV/0!</v>
      </c>
      <c r="D27" s="308"/>
      <c r="E27" s="306"/>
      <c r="F27" s="271"/>
      <c r="G27" s="271"/>
      <c r="H27" s="271"/>
      <c r="I27" s="271"/>
      <c r="J27" s="271"/>
      <c r="K27" s="271"/>
      <c r="L27" s="271"/>
      <c r="M27" s="271"/>
      <c r="N27" s="290"/>
    </row>
    <row r="28" spans="2:14" x14ac:dyDescent="0.25">
      <c r="B28" s="309" t="s">
        <v>93</v>
      </c>
      <c r="C28" s="310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94"/>
    </row>
    <row r="33" spans="2:2" x14ac:dyDescent="0.25">
      <c r="B33" s="259"/>
    </row>
  </sheetData>
  <mergeCells count="2">
    <mergeCell ref="B2:P2"/>
    <mergeCell ref="B4:P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0"/>
  <sheetViews>
    <sheetView tabSelected="1" zoomScale="70" zoomScaleNormal="70" workbookViewId="0">
      <selection activeCell="H7" sqref="H7"/>
    </sheetView>
  </sheetViews>
  <sheetFormatPr baseColWidth="10" defaultRowHeight="15" x14ac:dyDescent="0.25"/>
  <cols>
    <col min="2" max="2" width="15.7109375" bestFit="1" customWidth="1"/>
    <col min="4" max="4" width="21.5703125" customWidth="1"/>
    <col min="5" max="5" width="14.5703125" customWidth="1"/>
    <col min="6" max="6" width="13.42578125" customWidth="1"/>
    <col min="14" max="14" width="16" customWidth="1"/>
  </cols>
  <sheetData>
    <row r="1" spans="2:16" ht="15.75" thickBot="1" x14ac:dyDescent="0.3"/>
    <row r="2" spans="2:16" s="30" customFormat="1" ht="51.75" customHeight="1" thickTop="1" thickBot="1" x14ac:dyDescent="0.3">
      <c r="B2" s="504" t="s">
        <v>46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</row>
    <row r="3" spans="2:16" s="30" customFormat="1" ht="36.75" customHeight="1" thickTop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16" s="30" customFormat="1" ht="20.25" x14ac:dyDescent="0.25">
      <c r="B4" s="512" t="s">
        <v>204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</row>
    <row r="5" spans="2:16" s="30" customFormat="1" ht="21" thickBot="1" x14ac:dyDescent="0.3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2:16" ht="36.75" thickBot="1" x14ac:dyDescent="0.3">
      <c r="B6" s="359"/>
      <c r="C6" s="359"/>
      <c r="D6" s="360"/>
      <c r="E6" s="521" t="str">
        <f>'1.Raw material purchasing cost'!B13</f>
        <v>include " type raw material"</v>
      </c>
      <c r="F6" s="522"/>
      <c r="G6" s="523"/>
      <c r="H6" s="521" t="str">
        <f>'1.Raw material purchasing cost'!B14</f>
        <v>include " type raw material"</v>
      </c>
      <c r="I6" s="522"/>
      <c r="J6" s="522"/>
      <c r="K6" s="524" t="s">
        <v>200</v>
      </c>
      <c r="L6" s="525"/>
      <c r="M6" s="525"/>
      <c r="N6" s="517" t="s">
        <v>201</v>
      </c>
      <c r="O6" s="361" t="s">
        <v>161</v>
      </c>
      <c r="P6" s="362" t="s">
        <v>162</v>
      </c>
    </row>
    <row r="7" spans="2:16" ht="48" x14ac:dyDescent="0.25">
      <c r="B7" s="359"/>
      <c r="C7" s="359"/>
      <c r="D7" s="363" t="s">
        <v>163</v>
      </c>
      <c r="E7" s="431" t="s">
        <v>198</v>
      </c>
      <c r="F7" s="432" t="s">
        <v>199</v>
      </c>
      <c r="G7" s="433" t="s">
        <v>197</v>
      </c>
      <c r="H7" s="431" t="s">
        <v>198</v>
      </c>
      <c r="I7" s="432" t="s">
        <v>199</v>
      </c>
      <c r="J7" s="433" t="s">
        <v>197</v>
      </c>
      <c r="K7" s="434" t="s">
        <v>198</v>
      </c>
      <c r="L7" s="435" t="s">
        <v>199</v>
      </c>
      <c r="M7" s="436" t="s">
        <v>197</v>
      </c>
      <c r="N7" s="518"/>
      <c r="O7" s="364"/>
      <c r="P7" s="365"/>
    </row>
    <row r="8" spans="2:16" ht="15.75" thickBot="1" x14ac:dyDescent="0.3">
      <c r="B8" s="359"/>
      <c r="C8" s="359"/>
      <c r="D8" s="366"/>
      <c r="E8" s="431" t="s">
        <v>164</v>
      </c>
      <c r="F8" s="437" t="s">
        <v>164</v>
      </c>
      <c r="G8" s="432" t="s">
        <v>164</v>
      </c>
      <c r="H8" s="431" t="s">
        <v>164</v>
      </c>
      <c r="I8" s="437" t="s">
        <v>164</v>
      </c>
      <c r="J8" s="438" t="s">
        <v>164</v>
      </c>
      <c r="K8" s="431" t="s">
        <v>164</v>
      </c>
      <c r="L8" s="437" t="s">
        <v>164</v>
      </c>
      <c r="M8" s="432" t="s">
        <v>164</v>
      </c>
      <c r="N8" s="519"/>
      <c r="O8" s="364"/>
      <c r="P8" s="365"/>
    </row>
    <row r="9" spans="2:16" ht="15.75" thickBot="1" x14ac:dyDescent="0.3">
      <c r="B9" s="359"/>
      <c r="C9" s="359"/>
      <c r="D9" s="367" t="s">
        <v>196</v>
      </c>
      <c r="E9" s="368"/>
      <c r="F9" s="369"/>
      <c r="G9" s="370"/>
      <c r="H9" s="371"/>
      <c r="I9" s="372"/>
      <c r="J9" s="373"/>
      <c r="K9" s="371"/>
      <c r="L9" s="374"/>
      <c r="M9" s="370"/>
      <c r="N9" s="375">
        <f>SUM(G9,J9,M9)</f>
        <v>0</v>
      </c>
      <c r="O9" s="376"/>
      <c r="P9" s="377"/>
    </row>
    <row r="10" spans="2:16" ht="32.25" customHeight="1" x14ac:dyDescent="0.25">
      <c r="B10" s="462" t="s">
        <v>203</v>
      </c>
      <c r="C10" s="359"/>
      <c r="D10" s="444" t="s">
        <v>166</v>
      </c>
      <c r="E10" s="378"/>
      <c r="F10" s="379"/>
      <c r="G10" s="448" t="e">
        <f t="shared" ref="G10:G24" si="0">AVERAGE(E10:F10)</f>
        <v>#DIV/0!</v>
      </c>
      <c r="H10" s="380"/>
      <c r="I10" s="381" t="s">
        <v>165</v>
      </c>
      <c r="J10" s="454"/>
      <c r="K10" s="380"/>
      <c r="L10" s="382"/>
      <c r="M10" s="448" t="e">
        <f t="shared" ref="M10:M24" si="1">AVERAGE(K10:L10)</f>
        <v>#DIV/0!</v>
      </c>
      <c r="N10" s="439" t="e">
        <f>G10*$G$9+J10*$J$9+M10*$M$9</f>
        <v>#DIV/0!</v>
      </c>
      <c r="O10" s="383" t="s">
        <v>167</v>
      </c>
      <c r="P10" s="384" t="s">
        <v>167</v>
      </c>
    </row>
    <row r="11" spans="2:16" ht="15.75" thickBot="1" x14ac:dyDescent="0.3">
      <c r="B11" s="443">
        <v>10</v>
      </c>
      <c r="C11" s="385"/>
      <c r="D11" s="444" t="s">
        <v>168</v>
      </c>
      <c r="E11" s="386">
        <f>((E10*3.6)*(1-0.01*10)-(0.02443*10))/3.6</f>
        <v>-6.7861111111111108E-2</v>
      </c>
      <c r="F11" s="387">
        <f>((F10*3.6)*(1-0.01*10)-(0.02443*10))/3.6</f>
        <v>-6.7861111111111108E-2</v>
      </c>
      <c r="G11" s="449">
        <f t="shared" si="0"/>
        <v>-6.7861111111111108E-2</v>
      </c>
      <c r="H11" s="389">
        <f>((H10*3.6)*(1-0.01*10)-(0.02443*10))/3.6</f>
        <v>-6.7861111111111108E-2</v>
      </c>
      <c r="I11" s="388" t="s">
        <v>165</v>
      </c>
      <c r="J11" s="449">
        <f t="shared" ref="J11:J24" si="2">AVERAGE(H11:I11)</f>
        <v>-6.7861111111111108E-2</v>
      </c>
      <c r="K11" s="389">
        <f>((K10*3.6)*(1-0.01*10)-(0.02443*10))/3.6</f>
        <v>-6.7861111111111108E-2</v>
      </c>
      <c r="L11" s="390">
        <f>((L10*3.6)*(1-0.01*10)-(0.02443*10))/3.6</f>
        <v>-6.7861111111111108E-2</v>
      </c>
      <c r="M11" s="449">
        <f t="shared" si="1"/>
        <v>-6.7861111111111108E-2</v>
      </c>
      <c r="N11" s="439">
        <f t="shared" ref="N11:N23" si="3">G11*$G$9+J11*$J$9+M11*$M$9</f>
        <v>0</v>
      </c>
      <c r="O11" s="391" t="s">
        <v>169</v>
      </c>
      <c r="P11" s="392" t="s">
        <v>169</v>
      </c>
    </row>
    <row r="12" spans="2:16" ht="15.75" thickBot="1" x14ac:dyDescent="0.3">
      <c r="B12" s="393"/>
      <c r="C12" s="393"/>
      <c r="D12" s="445" t="s">
        <v>170</v>
      </c>
      <c r="E12" s="394"/>
      <c r="F12" s="395"/>
      <c r="G12" s="450" t="e">
        <f t="shared" si="0"/>
        <v>#DIV/0!</v>
      </c>
      <c r="H12" s="396"/>
      <c r="I12" s="397"/>
      <c r="J12" s="450" t="e">
        <f t="shared" si="2"/>
        <v>#DIV/0!</v>
      </c>
      <c r="K12" s="398"/>
      <c r="L12" s="399"/>
      <c r="M12" s="450" t="e">
        <f t="shared" si="1"/>
        <v>#DIV/0!</v>
      </c>
      <c r="N12" s="440" t="e">
        <f t="shared" si="3"/>
        <v>#DIV/0!</v>
      </c>
      <c r="O12" s="400" t="s">
        <v>171</v>
      </c>
      <c r="P12" s="401" t="s">
        <v>172</v>
      </c>
    </row>
    <row r="13" spans="2:16" x14ac:dyDescent="0.25">
      <c r="B13" s="359"/>
      <c r="C13" s="359"/>
      <c r="D13" s="360" t="s">
        <v>173</v>
      </c>
      <c r="E13" s="402"/>
      <c r="F13" s="403"/>
      <c r="G13" s="451" t="e">
        <f t="shared" si="0"/>
        <v>#DIV/0!</v>
      </c>
      <c r="H13" s="404" t="s">
        <v>165</v>
      </c>
      <c r="I13" s="405" t="s">
        <v>165</v>
      </c>
      <c r="J13" s="452" t="e">
        <f t="shared" si="2"/>
        <v>#DIV/0!</v>
      </c>
      <c r="K13" s="404"/>
      <c r="L13" s="406"/>
      <c r="M13" s="451" t="e">
        <f t="shared" si="1"/>
        <v>#DIV/0!</v>
      </c>
      <c r="N13" s="441" t="e">
        <f t="shared" si="3"/>
        <v>#DIV/0!</v>
      </c>
      <c r="O13" s="407" t="s">
        <v>174</v>
      </c>
      <c r="P13" s="408" t="s">
        <v>175</v>
      </c>
    </row>
    <row r="14" spans="2:16" x14ac:dyDescent="0.25">
      <c r="B14" s="359"/>
      <c r="C14" s="359"/>
      <c r="D14" s="366" t="s">
        <v>176</v>
      </c>
      <c r="E14" s="409"/>
      <c r="F14" s="410"/>
      <c r="G14" s="452" t="e">
        <f t="shared" si="0"/>
        <v>#DIV/0!</v>
      </c>
      <c r="H14" s="411" t="s">
        <v>165</v>
      </c>
      <c r="I14" s="381" t="s">
        <v>165</v>
      </c>
      <c r="J14" s="467" t="e">
        <f t="shared" si="2"/>
        <v>#DIV/0!</v>
      </c>
      <c r="K14" s="412"/>
      <c r="L14" s="413"/>
      <c r="M14" s="452" t="e">
        <f t="shared" si="1"/>
        <v>#DIV/0!</v>
      </c>
      <c r="N14" s="439" t="e">
        <f t="shared" si="3"/>
        <v>#DIV/0!</v>
      </c>
      <c r="O14" s="391" t="s">
        <v>177</v>
      </c>
      <c r="P14" s="392" t="s">
        <v>178</v>
      </c>
    </row>
    <row r="15" spans="2:16" ht="15.75" thickBot="1" x14ac:dyDescent="0.3">
      <c r="B15" s="359"/>
      <c r="C15" s="359"/>
      <c r="D15" s="446" t="s">
        <v>179</v>
      </c>
      <c r="E15" s="414"/>
      <c r="F15" s="415"/>
      <c r="G15" s="453" t="e">
        <f t="shared" si="0"/>
        <v>#DIV/0!</v>
      </c>
      <c r="H15" s="396" t="s">
        <v>165</v>
      </c>
      <c r="I15" s="397"/>
      <c r="J15" s="450" t="e">
        <f t="shared" si="2"/>
        <v>#DIV/0!</v>
      </c>
      <c r="K15" s="398"/>
      <c r="L15" s="416"/>
      <c r="M15" s="453" t="e">
        <f t="shared" si="1"/>
        <v>#DIV/0!</v>
      </c>
      <c r="N15" s="440" t="e">
        <f t="shared" si="3"/>
        <v>#DIV/0!</v>
      </c>
      <c r="O15" s="400" t="s">
        <v>180</v>
      </c>
      <c r="P15" s="401" t="s">
        <v>178</v>
      </c>
    </row>
    <row r="16" spans="2:16" x14ac:dyDescent="0.25">
      <c r="B16" s="359"/>
      <c r="C16" s="359"/>
      <c r="D16" s="360" t="s">
        <v>181</v>
      </c>
      <c r="E16" s="402"/>
      <c r="F16" s="403"/>
      <c r="G16" s="451" t="e">
        <f t="shared" si="0"/>
        <v>#DIV/0!</v>
      </c>
      <c r="H16" s="404" t="s">
        <v>165</v>
      </c>
      <c r="I16" s="405" t="s">
        <v>165</v>
      </c>
      <c r="J16" s="452" t="e">
        <f t="shared" si="2"/>
        <v>#DIV/0!</v>
      </c>
      <c r="K16" s="404" t="s">
        <v>165</v>
      </c>
      <c r="L16" s="406" t="s">
        <v>165</v>
      </c>
      <c r="M16" s="451" t="e">
        <f t="shared" si="1"/>
        <v>#DIV/0!</v>
      </c>
      <c r="N16" s="441" t="e">
        <f t="shared" si="3"/>
        <v>#DIV/0!</v>
      </c>
      <c r="O16" s="417" t="s">
        <v>182</v>
      </c>
      <c r="P16" s="418" t="s">
        <v>182</v>
      </c>
    </row>
    <row r="17" spans="2:16" x14ac:dyDescent="0.25">
      <c r="B17" s="359"/>
      <c r="C17" s="359"/>
      <c r="D17" s="366" t="s">
        <v>183</v>
      </c>
      <c r="E17" s="409"/>
      <c r="F17" s="410"/>
      <c r="G17" s="452" t="e">
        <f t="shared" si="0"/>
        <v>#DIV/0!</v>
      </c>
      <c r="H17" s="411" t="s">
        <v>165</v>
      </c>
      <c r="I17" s="381" t="s">
        <v>165</v>
      </c>
      <c r="J17" s="467" t="e">
        <f t="shared" si="2"/>
        <v>#DIV/0!</v>
      </c>
      <c r="K17" s="412" t="s">
        <v>165</v>
      </c>
      <c r="L17" s="413" t="s">
        <v>165</v>
      </c>
      <c r="M17" s="452" t="e">
        <f t="shared" si="1"/>
        <v>#DIV/0!</v>
      </c>
      <c r="N17" s="439" t="e">
        <f t="shared" si="3"/>
        <v>#DIV/0!</v>
      </c>
      <c r="O17" s="419" t="s">
        <v>184</v>
      </c>
      <c r="P17" s="420" t="s">
        <v>184</v>
      </c>
    </row>
    <row r="18" spans="2:16" x14ac:dyDescent="0.25">
      <c r="B18" s="359"/>
      <c r="C18" s="359"/>
      <c r="D18" s="366" t="s">
        <v>185</v>
      </c>
      <c r="E18" s="409"/>
      <c r="F18" s="410"/>
      <c r="G18" s="452" t="e">
        <f t="shared" si="0"/>
        <v>#DIV/0!</v>
      </c>
      <c r="H18" s="411" t="s">
        <v>165</v>
      </c>
      <c r="I18" s="381" t="s">
        <v>165</v>
      </c>
      <c r="J18" s="467" t="e">
        <f t="shared" si="2"/>
        <v>#DIV/0!</v>
      </c>
      <c r="K18" s="412" t="s">
        <v>165</v>
      </c>
      <c r="L18" s="413" t="s">
        <v>165</v>
      </c>
      <c r="M18" s="452" t="e">
        <f t="shared" si="1"/>
        <v>#DIV/0!</v>
      </c>
      <c r="N18" s="439" t="e">
        <f t="shared" si="3"/>
        <v>#DIV/0!</v>
      </c>
      <c r="O18" s="419" t="s">
        <v>186</v>
      </c>
      <c r="P18" s="420" t="s">
        <v>186</v>
      </c>
    </row>
    <row r="19" spans="2:16" x14ac:dyDescent="0.25">
      <c r="B19" s="359"/>
      <c r="C19" s="359"/>
      <c r="D19" s="366" t="s">
        <v>187</v>
      </c>
      <c r="E19" s="409"/>
      <c r="F19" s="410"/>
      <c r="G19" s="452" t="e">
        <f t="shared" si="0"/>
        <v>#DIV/0!</v>
      </c>
      <c r="H19" s="411" t="s">
        <v>165</v>
      </c>
      <c r="I19" s="381" t="s">
        <v>165</v>
      </c>
      <c r="J19" s="467" t="e">
        <f t="shared" si="2"/>
        <v>#DIV/0!</v>
      </c>
      <c r="K19" s="412" t="s">
        <v>165</v>
      </c>
      <c r="L19" s="413" t="s">
        <v>165</v>
      </c>
      <c r="M19" s="452" t="e">
        <f t="shared" si="1"/>
        <v>#DIV/0!</v>
      </c>
      <c r="N19" s="439" t="e">
        <f t="shared" si="3"/>
        <v>#DIV/0!</v>
      </c>
      <c r="O19" s="419" t="s">
        <v>188</v>
      </c>
      <c r="P19" s="420" t="s">
        <v>188</v>
      </c>
    </row>
    <row r="20" spans="2:16" x14ac:dyDescent="0.25">
      <c r="B20" s="359"/>
      <c r="C20" s="359"/>
      <c r="D20" s="366" t="s">
        <v>189</v>
      </c>
      <c r="E20" s="409"/>
      <c r="F20" s="410"/>
      <c r="G20" s="452" t="e">
        <f t="shared" si="0"/>
        <v>#DIV/0!</v>
      </c>
      <c r="H20" s="411" t="s">
        <v>165</v>
      </c>
      <c r="I20" s="381" t="s">
        <v>165</v>
      </c>
      <c r="J20" s="467" t="e">
        <f t="shared" si="2"/>
        <v>#DIV/0!</v>
      </c>
      <c r="K20" s="412" t="s">
        <v>165</v>
      </c>
      <c r="L20" s="413" t="s">
        <v>165</v>
      </c>
      <c r="M20" s="452" t="e">
        <f t="shared" si="1"/>
        <v>#DIV/0!</v>
      </c>
      <c r="N20" s="439" t="e">
        <f t="shared" si="3"/>
        <v>#DIV/0!</v>
      </c>
      <c r="O20" s="419" t="s">
        <v>172</v>
      </c>
      <c r="P20" s="420" t="s">
        <v>172</v>
      </c>
    </row>
    <row r="21" spans="2:16" x14ac:dyDescent="0.25">
      <c r="B21" s="359"/>
      <c r="C21" s="359"/>
      <c r="D21" s="366" t="s">
        <v>190</v>
      </c>
      <c r="E21" s="409"/>
      <c r="F21" s="410"/>
      <c r="G21" s="452" t="e">
        <f t="shared" si="0"/>
        <v>#DIV/0!</v>
      </c>
      <c r="H21" s="411" t="s">
        <v>165</v>
      </c>
      <c r="I21" s="381" t="s">
        <v>165</v>
      </c>
      <c r="J21" s="467" t="e">
        <f t="shared" si="2"/>
        <v>#DIV/0!</v>
      </c>
      <c r="K21" s="412" t="s">
        <v>165</v>
      </c>
      <c r="L21" s="413" t="s">
        <v>165</v>
      </c>
      <c r="M21" s="452" t="e">
        <f t="shared" si="1"/>
        <v>#DIV/0!</v>
      </c>
      <c r="N21" s="439" t="e">
        <f t="shared" si="3"/>
        <v>#DIV/0!</v>
      </c>
      <c r="O21" s="419" t="s">
        <v>180</v>
      </c>
      <c r="P21" s="420" t="s">
        <v>180</v>
      </c>
    </row>
    <row r="22" spans="2:16" x14ac:dyDescent="0.25">
      <c r="B22" s="359"/>
      <c r="C22" s="359"/>
      <c r="D22" s="366" t="s">
        <v>191</v>
      </c>
      <c r="E22" s="409"/>
      <c r="F22" s="410"/>
      <c r="G22" s="452" t="e">
        <f t="shared" si="0"/>
        <v>#DIV/0!</v>
      </c>
      <c r="H22" s="411" t="s">
        <v>165</v>
      </c>
      <c r="I22" s="381" t="s">
        <v>165</v>
      </c>
      <c r="J22" s="467" t="e">
        <f t="shared" si="2"/>
        <v>#DIV/0!</v>
      </c>
      <c r="K22" s="412" t="s">
        <v>165</v>
      </c>
      <c r="L22" s="413" t="s">
        <v>165</v>
      </c>
      <c r="M22" s="452" t="e">
        <f t="shared" si="1"/>
        <v>#DIV/0!</v>
      </c>
      <c r="N22" s="439" t="e">
        <f t="shared" si="3"/>
        <v>#DIV/0!</v>
      </c>
      <c r="O22" s="419" t="s">
        <v>172</v>
      </c>
      <c r="P22" s="420" t="s">
        <v>172</v>
      </c>
    </row>
    <row r="23" spans="2:16" ht="15.75" thickBot="1" x14ac:dyDescent="0.3">
      <c r="B23" s="359"/>
      <c r="C23" s="359"/>
      <c r="D23" s="446" t="s">
        <v>192</v>
      </c>
      <c r="E23" s="414"/>
      <c r="F23" s="415"/>
      <c r="G23" s="453" t="e">
        <f t="shared" si="0"/>
        <v>#DIV/0!</v>
      </c>
      <c r="H23" s="396" t="s">
        <v>165</v>
      </c>
      <c r="I23" s="397" t="s">
        <v>165</v>
      </c>
      <c r="J23" s="450" t="e">
        <f t="shared" si="2"/>
        <v>#DIV/0!</v>
      </c>
      <c r="K23" s="398" t="s">
        <v>165</v>
      </c>
      <c r="L23" s="416" t="s">
        <v>165</v>
      </c>
      <c r="M23" s="453" t="e">
        <f t="shared" si="1"/>
        <v>#DIV/0!</v>
      </c>
      <c r="N23" s="440" t="e">
        <f t="shared" si="3"/>
        <v>#DIV/0!</v>
      </c>
      <c r="O23" s="421" t="s">
        <v>193</v>
      </c>
      <c r="P23" s="422" t="s">
        <v>193</v>
      </c>
    </row>
    <row r="24" spans="2:16" ht="24.75" thickBot="1" x14ac:dyDescent="0.3">
      <c r="B24" s="359"/>
      <c r="C24" s="359"/>
      <c r="D24" s="447" t="s">
        <v>194</v>
      </c>
      <c r="E24" s="423"/>
      <c r="F24" s="424"/>
      <c r="G24" s="453" t="e">
        <f t="shared" si="0"/>
        <v>#DIV/0!</v>
      </c>
      <c r="H24" s="425" t="s">
        <v>165</v>
      </c>
      <c r="I24" s="426" t="s">
        <v>165</v>
      </c>
      <c r="J24" s="468" t="e">
        <f t="shared" si="2"/>
        <v>#DIV/0!</v>
      </c>
      <c r="K24" s="425" t="s">
        <v>165</v>
      </c>
      <c r="L24" s="427" t="s">
        <v>165</v>
      </c>
      <c r="M24" s="453" t="e">
        <f t="shared" si="1"/>
        <v>#DIV/0!</v>
      </c>
      <c r="N24" s="442"/>
      <c r="O24" s="428" t="s">
        <v>195</v>
      </c>
      <c r="P24" s="429" t="s">
        <v>195</v>
      </c>
    </row>
    <row r="25" spans="2:16" x14ac:dyDescent="0.25"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</row>
    <row r="26" spans="2:16" x14ac:dyDescent="0.25"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O26" s="359"/>
      <c r="P26" s="359"/>
    </row>
    <row r="27" spans="2:16" ht="15.75" x14ac:dyDescent="0.25"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520" t="s">
        <v>202</v>
      </c>
      <c r="O27" s="520"/>
      <c r="P27" s="359"/>
    </row>
    <row r="28" spans="2:16" x14ac:dyDescent="0.25">
      <c r="B28" s="359"/>
      <c r="C28" s="359"/>
      <c r="D28" s="455" t="s">
        <v>205</v>
      </c>
      <c r="E28" s="40"/>
      <c r="F28" s="1"/>
      <c r="G28" s="40"/>
      <c r="H28" s="359"/>
      <c r="I28" s="359"/>
      <c r="J28" s="359"/>
      <c r="K28" s="359"/>
      <c r="L28" s="359"/>
      <c r="M28" s="359"/>
      <c r="N28" s="359"/>
      <c r="O28" s="359"/>
      <c r="P28" s="359"/>
    </row>
    <row r="29" spans="2:16" ht="15.75" thickBot="1" x14ac:dyDescent="0.3">
      <c r="B29" s="359"/>
      <c r="C29" s="359"/>
      <c r="D29" s="430"/>
      <c r="E29" s="40"/>
      <c r="F29" s="1"/>
      <c r="G29" s="40"/>
      <c r="H29" s="359"/>
      <c r="I29" s="359"/>
      <c r="J29" s="359"/>
      <c r="K29" s="359"/>
      <c r="L29" s="359"/>
      <c r="M29" s="359"/>
      <c r="N29" s="359"/>
      <c r="O29" s="359"/>
      <c r="P29" s="359"/>
    </row>
    <row r="30" spans="2:16" x14ac:dyDescent="0.25">
      <c r="B30" s="359"/>
      <c r="C30" s="359"/>
      <c r="D30" s="515" t="s">
        <v>135</v>
      </c>
      <c r="E30" s="456" t="s">
        <v>136</v>
      </c>
      <c r="F30" s="463" t="s">
        <v>136</v>
      </c>
      <c r="G30" s="456" t="s">
        <v>137</v>
      </c>
      <c r="H30" s="456" t="s">
        <v>139</v>
      </c>
      <c r="I30" s="359"/>
      <c r="J30" s="359"/>
      <c r="K30" s="359"/>
      <c r="L30" s="359"/>
      <c r="M30" s="359"/>
      <c r="N30" s="359"/>
      <c r="O30" s="359"/>
      <c r="P30" s="359"/>
    </row>
    <row r="31" spans="2:16" ht="15.75" thickBot="1" x14ac:dyDescent="0.3">
      <c r="B31" s="359"/>
      <c r="C31" s="359"/>
      <c r="D31" s="516"/>
      <c r="E31" s="464" t="s">
        <v>206</v>
      </c>
      <c r="F31" s="469" t="s">
        <v>207</v>
      </c>
      <c r="G31" s="457" t="s">
        <v>138</v>
      </c>
      <c r="H31" s="457" t="s">
        <v>140</v>
      </c>
      <c r="I31" s="359"/>
      <c r="J31" s="359"/>
      <c r="K31" s="359"/>
      <c r="L31" s="359"/>
      <c r="M31" s="359"/>
      <c r="N31" s="359"/>
      <c r="O31" s="359"/>
      <c r="P31" s="359"/>
    </row>
    <row r="32" spans="2:16" ht="16.5" thickTop="1" thickBot="1" x14ac:dyDescent="0.3">
      <c r="B32" s="359"/>
      <c r="C32" s="359"/>
      <c r="D32" s="458" t="s">
        <v>141</v>
      </c>
      <c r="E32" s="459">
        <v>19.100000000000001</v>
      </c>
      <c r="F32" s="470">
        <f>E32*1000/3600</f>
        <v>5.3055555555555554</v>
      </c>
      <c r="G32" s="459">
        <v>0.3</v>
      </c>
      <c r="H32" s="459">
        <v>0.01</v>
      </c>
      <c r="I32" s="359"/>
      <c r="J32" s="359"/>
      <c r="K32" s="359"/>
      <c r="L32" s="359"/>
      <c r="M32" s="359"/>
      <c r="N32" s="359"/>
      <c r="O32" s="359"/>
      <c r="P32" s="359"/>
    </row>
    <row r="33" spans="2:16" ht="25.5" thickTop="1" thickBot="1" x14ac:dyDescent="0.3">
      <c r="B33" s="359"/>
      <c r="C33" s="359"/>
      <c r="D33" s="460" t="s">
        <v>142</v>
      </c>
      <c r="E33" s="461">
        <v>19.2</v>
      </c>
      <c r="F33" s="470">
        <f t="shared" ref="F33:F37" si="4">E33*1000/3600</f>
        <v>5.333333333333333</v>
      </c>
      <c r="G33" s="461">
        <v>3</v>
      </c>
      <c r="H33" s="461">
        <v>0.01</v>
      </c>
      <c r="I33" s="359"/>
      <c r="J33" s="359"/>
      <c r="K33" s="359"/>
      <c r="L33" s="359"/>
      <c r="M33" s="359"/>
      <c r="N33" s="359"/>
      <c r="O33" s="359"/>
      <c r="P33" s="359"/>
    </row>
    <row r="34" spans="2:16" ht="16.5" thickTop="1" thickBot="1" x14ac:dyDescent="0.3">
      <c r="B34" s="359"/>
      <c r="C34" s="359"/>
      <c r="D34" s="460" t="s">
        <v>143</v>
      </c>
      <c r="E34" s="461">
        <v>17.600000000000001</v>
      </c>
      <c r="F34" s="470">
        <f t="shared" si="4"/>
        <v>4.8888888888888893</v>
      </c>
      <c r="G34" s="461">
        <v>5</v>
      </c>
      <c r="H34" s="461">
        <v>0.4</v>
      </c>
      <c r="I34" s="359"/>
      <c r="J34" s="359"/>
      <c r="K34" s="359"/>
      <c r="L34" s="359"/>
      <c r="M34" s="359"/>
      <c r="N34" s="359"/>
      <c r="O34" s="359"/>
      <c r="P34" s="359"/>
    </row>
    <row r="35" spans="2:16" ht="16.5" thickTop="1" thickBot="1" x14ac:dyDescent="0.3">
      <c r="B35" s="359"/>
      <c r="C35" s="359"/>
      <c r="D35" s="460" t="s">
        <v>160</v>
      </c>
      <c r="E35" s="461">
        <v>17.600000000000001</v>
      </c>
      <c r="F35" s="470">
        <f t="shared" si="4"/>
        <v>4.8888888888888893</v>
      </c>
      <c r="G35" s="461">
        <v>5</v>
      </c>
      <c r="H35" s="461">
        <v>0.5</v>
      </c>
      <c r="I35" s="359"/>
      <c r="J35" s="359"/>
      <c r="K35" s="359"/>
      <c r="L35" s="359"/>
      <c r="M35" s="359"/>
      <c r="N35" s="359"/>
      <c r="O35" s="359"/>
      <c r="P35" s="359"/>
    </row>
    <row r="36" spans="2:16" ht="16.5" thickTop="1" thickBot="1" x14ac:dyDescent="0.3">
      <c r="B36" s="359"/>
      <c r="C36" s="359"/>
      <c r="D36" s="460" t="s">
        <v>159</v>
      </c>
      <c r="E36" s="461">
        <v>16.5</v>
      </c>
      <c r="F36" s="470">
        <f t="shared" si="4"/>
        <v>4.583333333333333</v>
      </c>
      <c r="G36" s="461" t="s">
        <v>144</v>
      </c>
      <c r="H36" s="461">
        <v>0.02</v>
      </c>
      <c r="I36" s="359"/>
      <c r="J36" s="359"/>
      <c r="K36" s="359"/>
      <c r="L36" s="359"/>
      <c r="M36" s="359"/>
      <c r="N36" s="359"/>
      <c r="O36" s="359"/>
      <c r="P36" s="359"/>
    </row>
    <row r="37" spans="2:16" ht="16.5" thickTop="1" thickBot="1" x14ac:dyDescent="0.3">
      <c r="B37" s="359"/>
      <c r="C37" s="359"/>
      <c r="D37" s="460" t="s">
        <v>145</v>
      </c>
      <c r="E37" s="461">
        <v>19</v>
      </c>
      <c r="F37" s="470">
        <f t="shared" si="4"/>
        <v>5.2777777777777777</v>
      </c>
      <c r="G37" s="461" t="s">
        <v>146</v>
      </c>
      <c r="H37" s="461" t="s">
        <v>147</v>
      </c>
      <c r="I37" s="359"/>
      <c r="J37" s="359"/>
      <c r="K37" s="359"/>
      <c r="L37" s="359"/>
      <c r="M37" s="359"/>
      <c r="N37" s="359"/>
      <c r="O37" s="359"/>
      <c r="P37" s="359"/>
    </row>
    <row r="38" spans="2:16" ht="16.5" thickTop="1" thickBot="1" x14ac:dyDescent="0.3">
      <c r="B38" s="359"/>
      <c r="C38" s="359"/>
      <c r="D38" s="460" t="s">
        <v>132</v>
      </c>
      <c r="E38" s="461" t="s">
        <v>148</v>
      </c>
      <c r="F38" s="459"/>
      <c r="G38" s="461" t="s">
        <v>149</v>
      </c>
      <c r="H38" s="461" t="s">
        <v>150</v>
      </c>
      <c r="I38" s="359"/>
      <c r="J38" s="359"/>
      <c r="K38" s="359"/>
      <c r="L38" s="359"/>
      <c r="M38" s="359"/>
      <c r="N38" s="359"/>
      <c r="O38" s="359"/>
      <c r="P38" s="359"/>
    </row>
    <row r="39" spans="2:16" ht="16.5" thickTop="1" thickBot="1" x14ac:dyDescent="0.3">
      <c r="B39" s="359"/>
      <c r="C39" s="359"/>
      <c r="D39" s="460" t="s">
        <v>151</v>
      </c>
      <c r="E39" s="461" t="s">
        <v>152</v>
      </c>
      <c r="F39" s="459"/>
      <c r="G39" s="461" t="s">
        <v>153</v>
      </c>
      <c r="H39" s="461" t="s">
        <v>154</v>
      </c>
      <c r="I39" s="359"/>
      <c r="J39" s="359"/>
      <c r="K39" s="359"/>
      <c r="L39" s="359"/>
      <c r="M39" s="359"/>
      <c r="N39" s="359"/>
      <c r="O39" s="359"/>
      <c r="P39" s="359"/>
    </row>
    <row r="40" spans="2:16" ht="16.5" thickTop="1" thickBot="1" x14ac:dyDescent="0.3">
      <c r="B40" s="359"/>
      <c r="C40" s="359"/>
      <c r="D40" s="460" t="s">
        <v>155</v>
      </c>
      <c r="E40" s="461" t="s">
        <v>156</v>
      </c>
      <c r="F40" s="459"/>
      <c r="G40" s="461" t="s">
        <v>157</v>
      </c>
      <c r="H40" s="461" t="s">
        <v>158</v>
      </c>
      <c r="I40" s="359"/>
      <c r="J40" s="359"/>
      <c r="K40" s="359"/>
      <c r="L40" s="359"/>
      <c r="M40" s="359"/>
      <c r="N40" s="359"/>
      <c r="O40" s="359"/>
      <c r="P40" s="359"/>
    </row>
  </sheetData>
  <mergeCells count="8">
    <mergeCell ref="D30:D31"/>
    <mergeCell ref="N6:N8"/>
    <mergeCell ref="B2:O2"/>
    <mergeCell ref="B4:O4"/>
    <mergeCell ref="N27:O27"/>
    <mergeCell ref="E6:G6"/>
    <mergeCell ref="H6:J6"/>
    <mergeCell ref="K6:M6"/>
  </mergeCells>
  <conditionalFormatting sqref="N11">
    <cfRule type="cellIs" dxfId="12" priority="14" operator="lessThan">
      <formula>4</formula>
    </cfRule>
    <cfRule type="cellIs" dxfId="11" priority="15" operator="lessThan">
      <formula>4</formula>
    </cfRule>
  </conditionalFormatting>
  <conditionalFormatting sqref="N12 N20 N22">
    <cfRule type="cellIs" dxfId="10" priority="13" operator="greaterThan">
      <formula>10</formula>
    </cfRule>
  </conditionalFormatting>
  <conditionalFormatting sqref="N13">
    <cfRule type="cellIs" dxfId="9" priority="12" operator="greaterThan">
      <formula>2</formula>
    </cfRule>
  </conditionalFormatting>
  <conditionalFormatting sqref="N14">
    <cfRule type="cellIs" dxfId="8" priority="10" operator="greaterThan">
      <formula>0.3</formula>
    </cfRule>
    <cfRule type="cellIs" dxfId="7" priority="11" operator="greaterThan">
      <formula>0.2</formula>
    </cfRule>
  </conditionalFormatting>
  <conditionalFormatting sqref="N15">
    <cfRule type="cellIs" dxfId="6" priority="9" operator="greaterThan">
      <formula>0.3</formula>
    </cfRule>
  </conditionalFormatting>
  <conditionalFormatting sqref="N16">
    <cfRule type="cellIs" dxfId="5" priority="8" operator="greaterThan">
      <formula>1</formula>
    </cfRule>
  </conditionalFormatting>
  <conditionalFormatting sqref="N17">
    <cfRule type="cellIs" dxfId="4" priority="7" operator="greaterThan">
      <formula>0.5</formula>
    </cfRule>
  </conditionalFormatting>
  <conditionalFormatting sqref="N18">
    <cfRule type="cellIs" dxfId="3" priority="6" operator="greaterThan">
      <formula>50</formula>
    </cfRule>
  </conditionalFormatting>
  <conditionalFormatting sqref="N19">
    <cfRule type="cellIs" dxfId="2" priority="5" operator="greaterThan">
      <formula>20</formula>
    </cfRule>
  </conditionalFormatting>
  <conditionalFormatting sqref="N21">
    <cfRule type="cellIs" dxfId="1" priority="3" operator="greaterThan">
      <formula>0.1</formula>
    </cfRule>
  </conditionalFormatting>
  <conditionalFormatting sqref="N23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91"/>
  <sheetViews>
    <sheetView showGridLines="0" topLeftCell="A34" zoomScale="70" zoomScaleNormal="70" workbookViewId="0">
      <selection activeCell="I30" sqref="I30"/>
    </sheetView>
  </sheetViews>
  <sheetFormatPr baseColWidth="10" defaultColWidth="11.42578125" defaultRowHeight="14.25" x14ac:dyDescent="0.2"/>
  <cols>
    <col min="1" max="1" width="11.42578125" style="10"/>
    <col min="2" max="2" width="5.140625" style="10" customWidth="1"/>
    <col min="3" max="3" width="27.85546875" style="10" customWidth="1"/>
    <col min="4" max="4" width="19.7109375" style="7" customWidth="1"/>
    <col min="5" max="5" width="18.5703125" style="10" customWidth="1"/>
    <col min="6" max="6" width="18.140625" style="10" customWidth="1"/>
    <col min="7" max="7" width="17.7109375" style="10" bestFit="1" customWidth="1"/>
    <col min="8" max="8" width="19.28515625" style="10" customWidth="1"/>
    <col min="9" max="9" width="16.85546875" style="10" customWidth="1"/>
    <col min="10" max="10" width="15.28515625" style="10" customWidth="1"/>
    <col min="11" max="11" width="17.7109375" style="7" bestFit="1" customWidth="1"/>
    <col min="12" max="12" width="14.42578125" style="20" customWidth="1"/>
    <col min="13" max="13" width="13.85546875" style="23" customWidth="1"/>
    <col min="14" max="14" width="5.7109375" style="10" customWidth="1"/>
    <col min="15" max="16384" width="11.42578125" style="10"/>
  </cols>
  <sheetData>
    <row r="1" spans="2:15" ht="15" thickBot="1" x14ac:dyDescent="0.25">
      <c r="D1" s="10"/>
      <c r="K1" s="10"/>
      <c r="L1" s="10"/>
      <c r="M1" s="10"/>
    </row>
    <row r="2" spans="2:15" s="30" customFormat="1" ht="51.75" customHeight="1" thickTop="1" thickBot="1" x14ac:dyDescent="0.3">
      <c r="B2" s="504" t="s">
        <v>46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</row>
    <row r="3" spans="2:15" s="30" customFormat="1" ht="36.75" customHeight="1" thickTop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15" s="30" customFormat="1" ht="20.25" x14ac:dyDescent="0.25">
      <c r="B4" s="512" t="s">
        <v>47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</row>
    <row r="7" spans="2:15" ht="20.25" x14ac:dyDescent="0.3">
      <c r="B7" s="78" t="s">
        <v>34</v>
      </c>
    </row>
    <row r="8" spans="2:15" ht="15" thickBot="1" x14ac:dyDescent="0.25">
      <c r="C8" s="65"/>
    </row>
    <row r="9" spans="2:15" ht="10.5" customHeight="1" thickTop="1" x14ac:dyDescent="0.2">
      <c r="B9" s="73"/>
      <c r="C9" s="74"/>
      <c r="D9" s="75"/>
      <c r="E9" s="74"/>
      <c r="F9" s="74"/>
      <c r="G9" s="74"/>
      <c r="H9" s="74"/>
      <c r="I9" s="74"/>
      <c r="J9" s="74"/>
      <c r="K9" s="75"/>
      <c r="L9" s="113"/>
      <c r="M9" s="112"/>
      <c r="N9" s="115"/>
    </row>
    <row r="10" spans="2:15" ht="21.75" customHeight="1" x14ac:dyDescent="0.2">
      <c r="B10" s="68"/>
      <c r="C10" s="465" t="s">
        <v>19</v>
      </c>
      <c r="D10" s="484"/>
      <c r="E10" s="484"/>
      <c r="F10" s="484"/>
      <c r="G10" s="484"/>
      <c r="K10" s="10"/>
      <c r="L10" s="10"/>
      <c r="M10" s="10"/>
      <c r="N10" s="51"/>
    </row>
    <row r="11" spans="2:15" ht="18.75" customHeight="1" x14ac:dyDescent="0.25">
      <c r="B11" s="68"/>
      <c r="C11" s="527" t="s">
        <v>33</v>
      </c>
      <c r="D11" s="536" t="str">
        <f>'1.Raw material purchasing cost'!B13</f>
        <v>include " type raw material"</v>
      </c>
      <c r="E11" s="537"/>
      <c r="F11" s="536" t="str">
        <f>'1.Raw material purchasing cost'!B14</f>
        <v>include " type raw material"</v>
      </c>
      <c r="G11" s="537"/>
      <c r="K11" s="10"/>
      <c r="L11" s="10"/>
      <c r="M11" s="10"/>
      <c r="N11" s="51"/>
    </row>
    <row r="12" spans="2:15" ht="54" customHeight="1" x14ac:dyDescent="0.2">
      <c r="B12" s="68"/>
      <c r="C12" s="528"/>
      <c r="D12" s="471" t="s">
        <v>208</v>
      </c>
      <c r="E12" s="472" t="s">
        <v>209</v>
      </c>
      <c r="F12" s="473" t="s">
        <v>208</v>
      </c>
      <c r="G12" s="471" t="s">
        <v>209</v>
      </c>
      <c r="K12" s="10"/>
      <c r="L12" s="10"/>
      <c r="M12" s="10"/>
      <c r="N12" s="51"/>
    </row>
    <row r="13" spans="2:15" ht="15" x14ac:dyDescent="0.25">
      <c r="B13" s="68"/>
      <c r="C13" s="82" t="s">
        <v>63</v>
      </c>
      <c r="D13" s="474"/>
      <c r="E13" s="475"/>
      <c r="F13" s="476"/>
      <c r="G13" s="474"/>
      <c r="K13" s="10"/>
      <c r="L13" s="10"/>
      <c r="M13" s="10"/>
      <c r="N13" s="51"/>
    </row>
    <row r="14" spans="2:15" ht="15" x14ac:dyDescent="0.25">
      <c r="B14" s="68"/>
      <c r="C14" s="83" t="s">
        <v>36</v>
      </c>
      <c r="D14" s="477"/>
      <c r="E14" s="477"/>
      <c r="F14" s="478"/>
      <c r="G14" s="479"/>
      <c r="K14" s="10"/>
      <c r="L14" s="10"/>
      <c r="M14" s="10"/>
      <c r="N14" s="51"/>
    </row>
    <row r="15" spans="2:15" ht="15" x14ac:dyDescent="0.25">
      <c r="B15" s="68"/>
      <c r="C15" s="83" t="s">
        <v>37</v>
      </c>
      <c r="D15" s="336"/>
      <c r="E15" s="336"/>
      <c r="F15" s="480"/>
      <c r="G15" s="337"/>
      <c r="K15" s="10"/>
      <c r="L15" s="10"/>
      <c r="M15" s="10"/>
      <c r="N15" s="51"/>
    </row>
    <row r="16" spans="2:15" ht="15" x14ac:dyDescent="0.25">
      <c r="B16" s="68"/>
      <c r="C16" s="83" t="s">
        <v>10</v>
      </c>
      <c r="D16" s="336"/>
      <c r="E16" s="336"/>
      <c r="F16" s="480"/>
      <c r="G16" s="337"/>
      <c r="K16" s="10"/>
      <c r="L16" s="10"/>
      <c r="M16" s="10"/>
      <c r="N16" s="51"/>
    </row>
    <row r="17" spans="2:14" ht="15" x14ac:dyDescent="0.25">
      <c r="B17" s="68"/>
      <c r="C17" s="83" t="s">
        <v>38</v>
      </c>
      <c r="D17" s="336"/>
      <c r="E17" s="336"/>
      <c r="F17" s="480"/>
      <c r="G17" s="337"/>
      <c r="K17" s="10"/>
      <c r="L17" s="10"/>
      <c r="M17" s="10"/>
      <c r="N17" s="51"/>
    </row>
    <row r="18" spans="2:14" ht="15" x14ac:dyDescent="0.25">
      <c r="B18" s="68"/>
      <c r="C18" s="84" t="s">
        <v>64</v>
      </c>
      <c r="D18" s="481"/>
      <c r="E18" s="481"/>
      <c r="F18" s="482"/>
      <c r="G18" s="483"/>
      <c r="K18" s="10"/>
      <c r="L18" s="10"/>
      <c r="M18" s="10"/>
      <c r="N18" s="51"/>
    </row>
    <row r="19" spans="2:14" ht="7.5" customHeight="1" x14ac:dyDescent="0.2">
      <c r="B19" s="68"/>
      <c r="C19" s="65"/>
      <c r="D19" s="71"/>
      <c r="E19" s="65"/>
      <c r="F19" s="65"/>
      <c r="G19" s="65"/>
      <c r="H19" s="65"/>
      <c r="I19" s="65"/>
      <c r="J19" s="65"/>
      <c r="K19" s="71"/>
      <c r="L19" s="109"/>
      <c r="N19" s="51"/>
    </row>
    <row r="20" spans="2:14" ht="9" customHeight="1" x14ac:dyDescent="0.2">
      <c r="B20" s="68"/>
      <c r="C20" s="65"/>
      <c r="D20" s="71"/>
      <c r="E20" s="65"/>
      <c r="F20" s="65"/>
      <c r="G20" s="65"/>
      <c r="H20" s="65"/>
      <c r="I20" s="65"/>
      <c r="J20" s="65"/>
      <c r="K20" s="71"/>
      <c r="L20" s="109"/>
      <c r="N20" s="51"/>
    </row>
    <row r="21" spans="2:14" ht="9" customHeight="1" x14ac:dyDescent="0.2">
      <c r="B21" s="68"/>
      <c r="C21" s="65"/>
      <c r="D21" s="71"/>
      <c r="E21" s="65"/>
      <c r="F21" s="65"/>
      <c r="G21" s="65"/>
      <c r="H21" s="65"/>
      <c r="I21" s="65"/>
      <c r="J21" s="65"/>
      <c r="K21" s="71"/>
      <c r="L21" s="109"/>
      <c r="N21" s="51"/>
    </row>
    <row r="22" spans="2:14" ht="18.75" customHeight="1" x14ac:dyDescent="0.25">
      <c r="B22" s="68"/>
      <c r="C22" s="228" t="s">
        <v>66</v>
      </c>
      <c r="D22" s="229"/>
      <c r="E22" s="229"/>
      <c r="F22" s="229"/>
      <c r="G22" s="229"/>
      <c r="H22" s="229"/>
      <c r="I22" s="229"/>
      <c r="J22" s="239"/>
      <c r="K22" s="239"/>
      <c r="L22" s="241"/>
      <c r="M22" s="241"/>
      <c r="N22" s="51"/>
    </row>
    <row r="23" spans="2:14" ht="15" x14ac:dyDescent="0.25">
      <c r="B23" s="68"/>
      <c r="C23" s="527" t="s">
        <v>33</v>
      </c>
      <c r="D23" s="538" t="str">
        <f>'1.Raw material purchasing cost'!B13</f>
        <v>include " type raw material"</v>
      </c>
      <c r="E23" s="539"/>
      <c r="F23" s="540"/>
      <c r="G23" s="546" t="str">
        <f>'1.Raw material purchasing cost'!B14</f>
        <v>include " type raw material"</v>
      </c>
      <c r="H23" s="547"/>
      <c r="I23" s="547"/>
      <c r="J23" s="240"/>
      <c r="K23" s="240"/>
      <c r="L23" s="65"/>
      <c r="M23" s="65"/>
      <c r="N23" s="51"/>
    </row>
    <row r="24" spans="2:14" ht="68.25" customHeight="1" x14ac:dyDescent="0.2">
      <c r="B24" s="68"/>
      <c r="C24" s="528"/>
      <c r="D24" s="215" t="s">
        <v>210</v>
      </c>
      <c r="E24" s="215" t="s">
        <v>100</v>
      </c>
      <c r="F24" s="216" t="s">
        <v>211</v>
      </c>
      <c r="G24" s="215" t="s">
        <v>210</v>
      </c>
      <c r="H24" s="215" t="s">
        <v>100</v>
      </c>
      <c r="I24" s="216" t="s">
        <v>211</v>
      </c>
      <c r="J24" s="242"/>
      <c r="K24" s="243"/>
      <c r="L24" s="243"/>
      <c r="M24" s="244"/>
      <c r="N24" s="51"/>
    </row>
    <row r="25" spans="2:14" ht="15" x14ac:dyDescent="0.25">
      <c r="B25" s="68"/>
      <c r="C25" s="83" t="s">
        <v>10</v>
      </c>
      <c r="D25" s="336"/>
      <c r="E25" s="337"/>
      <c r="F25" s="338">
        <f>D25*E25</f>
        <v>0</v>
      </c>
      <c r="G25" s="336"/>
      <c r="H25" s="337"/>
      <c r="I25" s="338">
        <f>G25*H25</f>
        <v>0</v>
      </c>
      <c r="J25" s="245"/>
      <c r="K25" s="246"/>
      <c r="L25" s="109"/>
      <c r="M25" s="240"/>
      <c r="N25" s="51"/>
    </row>
    <row r="26" spans="2:14" ht="9" customHeight="1" x14ac:dyDescent="0.2">
      <c r="B26" s="68"/>
      <c r="C26" s="65"/>
      <c r="D26" s="71"/>
      <c r="E26" s="65"/>
      <c r="F26" s="65"/>
      <c r="G26" s="65"/>
      <c r="H26" s="65"/>
      <c r="I26" s="65"/>
      <c r="J26" s="65"/>
      <c r="K26" s="71"/>
      <c r="L26" s="109"/>
      <c r="N26" s="51"/>
    </row>
    <row r="27" spans="2:14" ht="27" customHeight="1" x14ac:dyDescent="0.2">
      <c r="B27" s="68"/>
      <c r="C27" s="232" t="s">
        <v>116</v>
      </c>
      <c r="D27" s="229"/>
      <c r="E27" s="229"/>
      <c r="F27" s="239"/>
      <c r="G27" s="65"/>
      <c r="H27" s="65"/>
      <c r="I27" s="65"/>
      <c r="J27" s="65"/>
      <c r="K27" s="71"/>
      <c r="L27" s="109"/>
      <c r="N27" s="51"/>
    </row>
    <row r="28" spans="2:14" ht="46.5" customHeight="1" x14ac:dyDescent="0.25">
      <c r="B28" s="68"/>
      <c r="C28" s="527" t="s">
        <v>33</v>
      </c>
      <c r="D28" s="322" t="str">
        <f>'1.Raw material purchasing cost'!B13</f>
        <v>include " type raw material"</v>
      </c>
      <c r="E28" s="322" t="str">
        <f>'1.Raw material purchasing cost'!B14</f>
        <v>include " type raw material"</v>
      </c>
      <c r="F28" s="65"/>
      <c r="G28" s="65"/>
      <c r="H28" s="65"/>
      <c r="I28" s="65"/>
      <c r="J28" s="65"/>
      <c r="K28" s="71"/>
      <c r="L28" s="109"/>
      <c r="N28" s="51"/>
    </row>
    <row r="29" spans="2:14" ht="26.25" customHeight="1" x14ac:dyDescent="0.2">
      <c r="B29" s="68"/>
      <c r="C29" s="528"/>
      <c r="D29" s="256" t="s">
        <v>212</v>
      </c>
      <c r="E29" s="320" t="s">
        <v>212</v>
      </c>
      <c r="F29" s="65"/>
      <c r="G29" s="65"/>
      <c r="H29" s="65"/>
      <c r="I29" s="65"/>
      <c r="J29" s="65"/>
      <c r="K29" s="71"/>
      <c r="L29" s="109"/>
      <c r="N29" s="51"/>
    </row>
    <row r="30" spans="2:14" s="254" customFormat="1" x14ac:dyDescent="0.2">
      <c r="B30" s="247"/>
      <c r="C30" s="248" t="s">
        <v>63</v>
      </c>
      <c r="D30" s="319"/>
      <c r="E30" s="321"/>
      <c r="F30" s="250"/>
      <c r="G30" s="250"/>
      <c r="H30" s="250"/>
      <c r="I30" s="250"/>
      <c r="J30" s="250"/>
      <c r="K30" s="249"/>
      <c r="L30" s="251"/>
      <c r="M30" s="252"/>
      <c r="N30" s="253"/>
    </row>
    <row r="31" spans="2:14" s="254" customFormat="1" x14ac:dyDescent="0.2">
      <c r="B31" s="247"/>
      <c r="C31" s="255" t="s">
        <v>36</v>
      </c>
      <c r="D31" s="319"/>
      <c r="E31" s="321"/>
      <c r="F31" s="65"/>
      <c r="G31" s="250"/>
      <c r="H31" s="250"/>
      <c r="I31" s="250"/>
      <c r="J31" s="250"/>
      <c r="K31" s="250"/>
      <c r="L31" s="251"/>
      <c r="M31" s="252"/>
      <c r="N31" s="253"/>
    </row>
    <row r="32" spans="2:14" s="254" customFormat="1" x14ac:dyDescent="0.2">
      <c r="B32" s="247"/>
      <c r="C32" s="255" t="s">
        <v>37</v>
      </c>
      <c r="D32" s="319"/>
      <c r="E32" s="321"/>
      <c r="F32" s="250"/>
      <c r="G32" s="250"/>
      <c r="H32" s="250"/>
      <c r="I32" s="250"/>
      <c r="J32" s="250"/>
      <c r="K32" s="250"/>
      <c r="L32" s="251"/>
      <c r="M32" s="252"/>
      <c r="N32" s="253"/>
    </row>
    <row r="33" spans="2:14" s="254" customFormat="1" x14ac:dyDescent="0.2">
      <c r="B33" s="247"/>
      <c r="C33" s="255" t="s">
        <v>10</v>
      </c>
      <c r="D33" s="319"/>
      <c r="E33" s="321"/>
      <c r="F33" s="250"/>
      <c r="G33" s="250"/>
      <c r="H33" s="250"/>
      <c r="I33" s="250"/>
      <c r="J33" s="250"/>
      <c r="K33" s="249"/>
      <c r="L33" s="251"/>
      <c r="M33" s="252"/>
      <c r="N33" s="253"/>
    </row>
    <row r="34" spans="2:14" s="254" customFormat="1" x14ac:dyDescent="0.2">
      <c r="B34" s="247"/>
      <c r="C34" s="255" t="s">
        <v>38</v>
      </c>
      <c r="D34" s="319"/>
      <c r="E34" s="321"/>
      <c r="F34" s="250"/>
      <c r="G34" s="250"/>
      <c r="H34" s="250"/>
      <c r="I34" s="250"/>
      <c r="J34" s="250"/>
      <c r="K34" s="249"/>
      <c r="L34" s="251"/>
      <c r="M34" s="252"/>
      <c r="N34" s="253"/>
    </row>
    <row r="35" spans="2:14" s="254" customFormat="1" x14ac:dyDescent="0.2">
      <c r="B35" s="247"/>
      <c r="C35" s="255" t="s">
        <v>64</v>
      </c>
      <c r="D35" s="319"/>
      <c r="E35" s="321"/>
      <c r="F35" s="250"/>
      <c r="G35" s="250"/>
      <c r="H35" s="250"/>
      <c r="I35" s="250"/>
      <c r="J35" s="250"/>
      <c r="K35" s="249"/>
      <c r="L35" s="251"/>
      <c r="M35" s="252"/>
      <c r="N35" s="253"/>
    </row>
    <row r="36" spans="2:14" ht="9" customHeight="1" x14ac:dyDescent="0.2">
      <c r="B36" s="68"/>
      <c r="C36" s="65"/>
      <c r="D36" s="71"/>
      <c r="E36" s="65"/>
      <c r="F36" s="65"/>
      <c r="G36" s="65"/>
      <c r="H36" s="65"/>
      <c r="I36" s="65"/>
      <c r="J36" s="65"/>
      <c r="K36" s="71"/>
      <c r="L36" s="109"/>
      <c r="N36" s="51"/>
    </row>
    <row r="37" spans="2:14" ht="9" customHeight="1" x14ac:dyDescent="0.2">
      <c r="B37" s="68"/>
      <c r="C37" s="65"/>
      <c r="D37" s="71"/>
      <c r="E37" s="65"/>
      <c r="F37" s="65"/>
      <c r="G37" s="65"/>
      <c r="H37" s="65"/>
      <c r="I37" s="65"/>
      <c r="J37" s="65"/>
      <c r="K37" s="71"/>
      <c r="L37" s="109"/>
      <c r="N37" s="51"/>
    </row>
    <row r="38" spans="2:14" ht="15" x14ac:dyDescent="0.2">
      <c r="B38" s="68"/>
      <c r="C38" s="232" t="s">
        <v>117</v>
      </c>
      <c r="D38" s="229"/>
      <c r="E38" s="229"/>
      <c r="F38" s="65"/>
      <c r="G38" s="65"/>
      <c r="H38" s="65"/>
      <c r="I38" s="65"/>
      <c r="J38" s="65"/>
      <c r="K38" s="71"/>
      <c r="L38" s="109"/>
      <c r="N38" s="51"/>
    </row>
    <row r="39" spans="2:14" ht="30" x14ac:dyDescent="0.25">
      <c r="B39" s="68"/>
      <c r="C39" s="527" t="s">
        <v>33</v>
      </c>
      <c r="D39" s="322" t="str">
        <f>'1.Raw material purchasing cost'!B13</f>
        <v>include " type raw material"</v>
      </c>
      <c r="E39" s="323" t="str">
        <f>'1.Raw material purchasing cost'!B14</f>
        <v>include " type raw material"</v>
      </c>
      <c r="F39" s="65"/>
      <c r="G39" s="65"/>
      <c r="H39" s="65"/>
      <c r="I39" s="65"/>
      <c r="J39" s="65"/>
      <c r="K39" s="71"/>
      <c r="L39" s="109"/>
      <c r="N39" s="51"/>
    </row>
    <row r="40" spans="2:14" ht="25.5" x14ac:dyDescent="0.2">
      <c r="B40" s="68"/>
      <c r="C40" s="528"/>
      <c r="D40" s="256" t="s">
        <v>101</v>
      </c>
      <c r="E40" s="320" t="s">
        <v>101</v>
      </c>
      <c r="F40" s="65"/>
      <c r="G40" s="65"/>
      <c r="H40" s="65"/>
      <c r="I40" s="65"/>
      <c r="J40" s="65"/>
      <c r="K40" s="71"/>
      <c r="L40" s="109"/>
      <c r="N40" s="51"/>
    </row>
    <row r="41" spans="2:14" x14ac:dyDescent="0.2">
      <c r="B41" s="68"/>
      <c r="C41" s="248" t="s">
        <v>63</v>
      </c>
      <c r="D41" s="340"/>
      <c r="E41" s="341"/>
      <c r="F41" s="65"/>
      <c r="G41" s="65"/>
      <c r="H41" s="65"/>
      <c r="I41" s="65"/>
      <c r="J41" s="65"/>
      <c r="K41" s="71"/>
      <c r="L41" s="109"/>
      <c r="N41" s="51"/>
    </row>
    <row r="42" spans="2:14" x14ac:dyDescent="0.2">
      <c r="B42" s="68"/>
      <c r="C42" s="255" t="s">
        <v>36</v>
      </c>
      <c r="D42" s="340"/>
      <c r="E42" s="341"/>
      <c r="F42" s="65"/>
      <c r="G42" s="65"/>
      <c r="H42" s="65"/>
      <c r="I42" s="65"/>
      <c r="J42" s="65"/>
      <c r="K42" s="71"/>
      <c r="L42" s="109"/>
      <c r="N42" s="51"/>
    </row>
    <row r="43" spans="2:14" x14ac:dyDescent="0.2">
      <c r="B43" s="68"/>
      <c r="C43" s="255" t="s">
        <v>37</v>
      </c>
      <c r="D43" s="340"/>
      <c r="E43" s="341"/>
      <c r="F43" s="65"/>
      <c r="G43" s="65"/>
      <c r="H43" s="65"/>
      <c r="I43" s="65"/>
      <c r="J43" s="65"/>
      <c r="K43" s="71"/>
      <c r="L43" s="109"/>
      <c r="N43" s="51"/>
    </row>
    <row r="44" spans="2:14" x14ac:dyDescent="0.2">
      <c r="B44" s="68"/>
      <c r="C44" s="255" t="s">
        <v>10</v>
      </c>
      <c r="D44" s="340"/>
      <c r="E44" s="341"/>
      <c r="F44" s="65"/>
      <c r="G44" s="65"/>
      <c r="H44" s="65"/>
      <c r="I44" s="65"/>
      <c r="J44" s="65"/>
      <c r="K44" s="71"/>
      <c r="L44" s="109"/>
      <c r="N44" s="51"/>
    </row>
    <row r="45" spans="2:14" x14ac:dyDescent="0.2">
      <c r="B45" s="68"/>
      <c r="C45" s="255" t="s">
        <v>38</v>
      </c>
      <c r="D45" s="340"/>
      <c r="E45" s="341"/>
      <c r="F45" s="65"/>
      <c r="G45" s="65"/>
      <c r="H45" s="65"/>
      <c r="I45" s="65"/>
      <c r="J45" s="65"/>
      <c r="K45" s="71"/>
      <c r="L45" s="109"/>
      <c r="N45" s="51"/>
    </row>
    <row r="46" spans="2:14" x14ac:dyDescent="0.2">
      <c r="B46" s="68"/>
      <c r="C46" s="255" t="s">
        <v>64</v>
      </c>
      <c r="D46" s="342"/>
      <c r="E46" s="343"/>
      <c r="F46" s="65"/>
      <c r="G46" s="65"/>
      <c r="H46" s="65"/>
      <c r="I46" s="65"/>
      <c r="J46" s="65"/>
      <c r="K46" s="71"/>
      <c r="L46" s="109"/>
      <c r="N46" s="51"/>
    </row>
    <row r="47" spans="2:14" ht="9" customHeight="1" x14ac:dyDescent="0.2">
      <c r="B47" s="68"/>
      <c r="C47" s="65"/>
      <c r="D47" s="71"/>
      <c r="E47" s="65"/>
      <c r="F47" s="65"/>
      <c r="G47" s="65"/>
      <c r="H47" s="65"/>
      <c r="I47" s="65"/>
      <c r="J47" s="65"/>
      <c r="K47" s="71"/>
      <c r="L47" s="109"/>
      <c r="N47" s="51"/>
    </row>
    <row r="48" spans="2:14" ht="15" thickBot="1" x14ac:dyDescent="0.25">
      <c r="B48" s="76"/>
      <c r="C48" s="72"/>
      <c r="D48" s="77"/>
      <c r="E48" s="72"/>
      <c r="F48" s="72"/>
      <c r="G48" s="72"/>
      <c r="H48" s="72"/>
      <c r="I48" s="72"/>
      <c r="J48" s="72"/>
      <c r="K48" s="77"/>
      <c r="L48" s="111"/>
      <c r="M48" s="110"/>
      <c r="N48" s="116"/>
    </row>
    <row r="49" spans="2:14" ht="15" thickTop="1" x14ac:dyDescent="0.2"/>
    <row r="50" spans="2:14" ht="33" customHeight="1" x14ac:dyDescent="0.3">
      <c r="B50" s="78" t="s">
        <v>23</v>
      </c>
    </row>
    <row r="51" spans="2:14" s="31" customFormat="1" ht="15" thickBot="1" x14ac:dyDescent="0.3">
      <c r="C51" s="33"/>
      <c r="D51" s="36"/>
      <c r="E51" s="43"/>
      <c r="F51" s="37"/>
      <c r="G51" s="42"/>
      <c r="K51" s="32"/>
      <c r="L51" s="34"/>
      <c r="M51" s="35"/>
    </row>
    <row r="52" spans="2:14" s="31" customFormat="1" ht="15" thickTop="1" x14ac:dyDescent="0.25">
      <c r="B52" s="125"/>
      <c r="C52" s="126"/>
      <c r="D52" s="127"/>
      <c r="E52" s="128"/>
      <c r="F52" s="129"/>
      <c r="G52" s="130"/>
      <c r="H52" s="131"/>
      <c r="I52" s="131"/>
      <c r="J52" s="131"/>
      <c r="K52" s="132"/>
      <c r="L52" s="133"/>
      <c r="M52" s="134"/>
      <c r="N52" s="135"/>
    </row>
    <row r="53" spans="2:14" ht="18.75" thickBot="1" x14ac:dyDescent="0.3">
      <c r="B53" s="136"/>
      <c r="C53" s="137" t="s">
        <v>39</v>
      </c>
      <c r="D53" s="138"/>
      <c r="E53" s="139"/>
      <c r="F53" s="139"/>
      <c r="G53" s="139"/>
      <c r="H53" s="139"/>
      <c r="I53" s="139"/>
      <c r="J53" s="139"/>
      <c r="K53" s="109"/>
      <c r="L53" s="109"/>
      <c r="M53" s="140"/>
      <c r="N53" s="141"/>
    </row>
    <row r="54" spans="2:14" ht="14.25" customHeight="1" thickTop="1" x14ac:dyDescent="0.2">
      <c r="B54" s="136"/>
      <c r="C54" s="526" t="s">
        <v>9</v>
      </c>
      <c r="D54" s="531" t="s">
        <v>94</v>
      </c>
      <c r="E54" s="531" t="s">
        <v>67</v>
      </c>
      <c r="F54" s="529" t="s">
        <v>70</v>
      </c>
      <c r="G54" s="541"/>
      <c r="H54" s="542"/>
      <c r="I54" s="529" t="s">
        <v>11</v>
      </c>
      <c r="J54" s="534" t="s">
        <v>2</v>
      </c>
      <c r="K54" s="109"/>
      <c r="L54" s="27"/>
      <c r="M54" s="140"/>
      <c r="N54" s="141"/>
    </row>
    <row r="55" spans="2:14" ht="21.75" customHeight="1" x14ac:dyDescent="0.2">
      <c r="B55" s="136"/>
      <c r="C55" s="526"/>
      <c r="D55" s="532"/>
      <c r="E55" s="532"/>
      <c r="F55" s="543"/>
      <c r="G55" s="544"/>
      <c r="H55" s="545"/>
      <c r="I55" s="530"/>
      <c r="J55" s="535"/>
      <c r="K55" s="109"/>
      <c r="L55" s="27"/>
      <c r="M55" s="140"/>
      <c r="N55" s="141"/>
    </row>
    <row r="56" spans="2:14" ht="26.25" thickBot="1" x14ac:dyDescent="0.25">
      <c r="B56" s="136"/>
      <c r="C56" s="526"/>
      <c r="D56" s="533"/>
      <c r="E56" s="533"/>
      <c r="F56" s="159" t="s">
        <v>68</v>
      </c>
      <c r="G56" s="159" t="s">
        <v>69</v>
      </c>
      <c r="H56" s="159" t="s">
        <v>127</v>
      </c>
      <c r="I56" s="214" t="s">
        <v>18</v>
      </c>
      <c r="J56" s="160" t="s">
        <v>62</v>
      </c>
      <c r="K56" s="109"/>
      <c r="L56" s="28"/>
      <c r="M56" s="142"/>
      <c r="N56" s="141"/>
    </row>
    <row r="57" spans="2:14" ht="27.75" customHeight="1" thickTop="1" x14ac:dyDescent="0.2">
      <c r="B57" s="136"/>
      <c r="C57" s="356" t="str">
        <f>'1.Raw material purchasing cost'!B13</f>
        <v>include " type raw material"</v>
      </c>
      <c r="D57" s="353"/>
      <c r="E57" s="353"/>
      <c r="F57" s="353"/>
      <c r="G57" s="353"/>
      <c r="H57" s="353"/>
      <c r="I57" s="353"/>
      <c r="J57" s="353"/>
      <c r="K57" s="109"/>
      <c r="L57" s="26"/>
      <c r="M57" s="142"/>
      <c r="N57" s="141"/>
    </row>
    <row r="58" spans="2:14" x14ac:dyDescent="0.2">
      <c r="B58" s="257"/>
      <c r="C58" s="117" t="s">
        <v>63</v>
      </c>
      <c r="D58" s="118">
        <f>'1.Raw material purchasing cost'!L13</f>
        <v>0</v>
      </c>
      <c r="E58" s="335">
        <f>(D13*'3.Personnel costs'!E11)+'2.Pretreatment costs'!E13</f>
        <v>0</v>
      </c>
      <c r="F58" s="485"/>
      <c r="G58" s="486">
        <f>D30</f>
        <v>0</v>
      </c>
      <c r="H58" s="318">
        <f>D41*'3.Personnel costs'!E20</f>
        <v>0</v>
      </c>
      <c r="I58" s="339">
        <f>SUM(E58:H58)</f>
        <v>0</v>
      </c>
      <c r="J58" s="119">
        <f t="shared" ref="J58:J63" si="0">I58*D58</f>
        <v>0</v>
      </c>
    </row>
    <row r="59" spans="2:14" x14ac:dyDescent="0.2">
      <c r="B59" s="136"/>
      <c r="C59" s="120" t="s">
        <v>36</v>
      </c>
      <c r="D59" s="118">
        <f>'1.Raw material purchasing cost'!L13</f>
        <v>0</v>
      </c>
      <c r="E59" s="335">
        <f>(D14*'3.Personnel costs'!E11)+'2.Pretreatment costs'!E14</f>
        <v>0</v>
      </c>
      <c r="F59" s="487"/>
      <c r="G59" s="486">
        <f t="shared" ref="G59:G63" si="1">D31</f>
        <v>0</v>
      </c>
      <c r="H59" s="318">
        <f>D42*'3.Personnel costs'!E20</f>
        <v>0</v>
      </c>
      <c r="I59" s="339">
        <f t="shared" ref="I59:I63" si="2">SUM(E59:H59)</f>
        <v>0</v>
      </c>
      <c r="J59" s="119">
        <f t="shared" si="0"/>
        <v>0</v>
      </c>
      <c r="K59" s="109"/>
      <c r="L59" s="24"/>
      <c r="M59" s="142"/>
      <c r="N59" s="141"/>
    </row>
    <row r="60" spans="2:14" x14ac:dyDescent="0.2">
      <c r="B60" s="136"/>
      <c r="C60" s="120" t="s">
        <v>37</v>
      </c>
      <c r="D60" s="118">
        <f>'1.Raw material purchasing cost'!L13</f>
        <v>0</v>
      </c>
      <c r="E60" s="335">
        <f>(D15*'3.Personnel costs'!E11)+'2.Pretreatment costs'!E15</f>
        <v>0</v>
      </c>
      <c r="F60" s="487"/>
      <c r="G60" s="486">
        <f t="shared" si="1"/>
        <v>0</v>
      </c>
      <c r="H60" s="318">
        <f>D43*'3.Personnel costs'!E20</f>
        <v>0</v>
      </c>
      <c r="I60" s="339">
        <f t="shared" si="2"/>
        <v>0</v>
      </c>
      <c r="J60" s="119">
        <f t="shared" si="0"/>
        <v>0</v>
      </c>
      <c r="K60" s="109"/>
      <c r="L60" s="109"/>
      <c r="M60" s="142"/>
      <c r="N60" s="141"/>
    </row>
    <row r="61" spans="2:14" x14ac:dyDescent="0.2">
      <c r="B61" s="136"/>
      <c r="C61" s="120" t="s">
        <v>10</v>
      </c>
      <c r="D61" s="119">
        <f>'1.Raw material purchasing cost'!H13</f>
        <v>0</v>
      </c>
      <c r="E61" s="335">
        <f>(D16*'3.Personnel costs'!E11)+'2.Pretreatment costs'!E16</f>
        <v>0</v>
      </c>
      <c r="F61" s="487">
        <f>F25</f>
        <v>0</v>
      </c>
      <c r="G61" s="486">
        <f t="shared" si="1"/>
        <v>0</v>
      </c>
      <c r="H61" s="318">
        <f>D44*'3.Personnel costs'!E20</f>
        <v>0</v>
      </c>
      <c r="I61" s="339">
        <f t="shared" si="2"/>
        <v>0</v>
      </c>
      <c r="J61" s="119">
        <f t="shared" si="0"/>
        <v>0</v>
      </c>
      <c r="K61" s="109"/>
      <c r="L61" s="24"/>
      <c r="M61" s="142"/>
      <c r="N61" s="141"/>
    </row>
    <row r="62" spans="2:14" x14ac:dyDescent="0.2">
      <c r="B62" s="136"/>
      <c r="C62" s="120" t="s">
        <v>38</v>
      </c>
      <c r="D62" s="119">
        <f>'1.Raw material purchasing cost'!J13</f>
        <v>0</v>
      </c>
      <c r="E62" s="335">
        <f>(D17*'3.Personnel costs'!E11)+'2.Pretreatment costs'!E17</f>
        <v>0</v>
      </c>
      <c r="F62" s="487"/>
      <c r="G62" s="486">
        <f t="shared" si="1"/>
        <v>0</v>
      </c>
      <c r="H62" s="318">
        <f>D45*'3.Personnel costs'!E20</f>
        <v>0</v>
      </c>
      <c r="I62" s="339">
        <f t="shared" si="2"/>
        <v>0</v>
      </c>
      <c r="J62" s="119">
        <f t="shared" si="0"/>
        <v>0</v>
      </c>
      <c r="K62" s="109"/>
      <c r="L62" s="24"/>
      <c r="M62" s="142"/>
      <c r="N62" s="141"/>
    </row>
    <row r="63" spans="2:14" ht="15" thickBot="1" x14ac:dyDescent="0.25">
      <c r="B63" s="136"/>
      <c r="C63" s="120" t="s">
        <v>64</v>
      </c>
      <c r="D63" s="119">
        <f>'1.Raw material purchasing cost'!E13</f>
        <v>0</v>
      </c>
      <c r="E63" s="335">
        <f>(D18*'3.Personnel costs'!E11)+'2.Pretreatment costs'!E18</f>
        <v>0</v>
      </c>
      <c r="F63" s="488"/>
      <c r="G63" s="486">
        <f t="shared" si="1"/>
        <v>0</v>
      </c>
      <c r="H63" s="318">
        <f>D46*'3.Personnel costs'!E20</f>
        <v>0</v>
      </c>
      <c r="I63" s="339">
        <f t="shared" si="2"/>
        <v>0</v>
      </c>
      <c r="J63" s="119">
        <f t="shared" si="0"/>
        <v>0</v>
      </c>
      <c r="K63" s="109"/>
      <c r="L63" s="24"/>
      <c r="M63" s="142"/>
      <c r="N63" s="141"/>
    </row>
    <row r="64" spans="2:14" ht="30.75" customHeight="1" thickTop="1" x14ac:dyDescent="0.2">
      <c r="B64" s="136"/>
      <c r="C64" s="355" t="str">
        <f>'1.Raw material purchasing cost'!B14</f>
        <v>include " type raw material"</v>
      </c>
      <c r="D64" s="354"/>
      <c r="E64" s="354"/>
      <c r="F64" s="354"/>
      <c r="G64" s="354"/>
      <c r="H64" s="354"/>
      <c r="I64" s="354"/>
      <c r="J64" s="354"/>
      <c r="K64" s="109"/>
      <c r="L64" s="25"/>
      <c r="M64" s="142"/>
      <c r="N64" s="141"/>
    </row>
    <row r="65" spans="2:14" x14ac:dyDescent="0.2">
      <c r="B65" s="136"/>
      <c r="C65" s="117" t="s">
        <v>63</v>
      </c>
      <c r="D65" s="119">
        <f>'1.Raw material purchasing cost'!L14</f>
        <v>0</v>
      </c>
      <c r="E65" s="335">
        <f>(F13*'3.Personnel costs'!E11)+'2.Pretreatment costs'!G13</f>
        <v>0</v>
      </c>
      <c r="F65" s="119"/>
      <c r="G65" s="318" t="e">
        <f t="shared" ref="G65:G70" si="3">E30/D65</f>
        <v>#DIV/0!</v>
      </c>
      <c r="H65" s="318">
        <f>E41*'3.Personnel costs'!E20</f>
        <v>0</v>
      </c>
      <c r="I65" s="339" t="e">
        <f>SUM(E65:H65)</f>
        <v>#DIV/0!</v>
      </c>
      <c r="J65" s="119" t="e">
        <f t="shared" ref="J65:J70" si="4">I65*D65</f>
        <v>#DIV/0!</v>
      </c>
      <c r="K65" s="109"/>
      <c r="L65" s="25"/>
      <c r="M65" s="142"/>
      <c r="N65" s="141"/>
    </row>
    <row r="66" spans="2:14" x14ac:dyDescent="0.2">
      <c r="B66" s="136"/>
      <c r="C66" s="120" t="s">
        <v>36</v>
      </c>
      <c r="D66" s="119">
        <f>'1.Raw material purchasing cost'!L14</f>
        <v>0</v>
      </c>
      <c r="E66" s="335">
        <f>(F14*'3.Personnel costs'!E11)+'2.Pretreatment costs'!G14</f>
        <v>0</v>
      </c>
      <c r="F66" s="119"/>
      <c r="G66" s="318" t="e">
        <f t="shared" si="3"/>
        <v>#DIV/0!</v>
      </c>
      <c r="H66" s="318">
        <f>E42*'3.Personnel costs'!E20</f>
        <v>0</v>
      </c>
      <c r="I66" s="339" t="e">
        <f t="shared" ref="I66:I70" si="5">SUM(E66:H66)</f>
        <v>#DIV/0!</v>
      </c>
      <c r="J66" s="119" t="e">
        <f t="shared" si="4"/>
        <v>#DIV/0!</v>
      </c>
      <c r="K66" s="109"/>
      <c r="L66" s="25"/>
      <c r="M66" s="142"/>
      <c r="N66" s="141"/>
    </row>
    <row r="67" spans="2:14" x14ac:dyDescent="0.2">
      <c r="B67" s="136"/>
      <c r="C67" s="120" t="s">
        <v>37</v>
      </c>
      <c r="D67" s="119">
        <f>'1.Raw material purchasing cost'!L14</f>
        <v>0</v>
      </c>
      <c r="E67" s="335">
        <f>(F15*'3.Personnel costs'!E11)+'2.Pretreatment costs'!G15</f>
        <v>0</v>
      </c>
      <c r="F67" s="119"/>
      <c r="G67" s="318" t="e">
        <f t="shared" si="3"/>
        <v>#DIV/0!</v>
      </c>
      <c r="H67" s="318">
        <f>E43*'3.Personnel costs'!E20</f>
        <v>0</v>
      </c>
      <c r="I67" s="339" t="e">
        <f t="shared" si="5"/>
        <v>#DIV/0!</v>
      </c>
      <c r="J67" s="119" t="e">
        <f t="shared" si="4"/>
        <v>#DIV/0!</v>
      </c>
      <c r="K67" s="109"/>
      <c r="L67" s="25"/>
      <c r="M67" s="142"/>
      <c r="N67" s="141"/>
    </row>
    <row r="68" spans="2:14" x14ac:dyDescent="0.2">
      <c r="B68" s="136"/>
      <c r="C68" s="120" t="s">
        <v>10</v>
      </c>
      <c r="D68" s="119">
        <f>'1.Raw material purchasing cost'!H14</f>
        <v>0</v>
      </c>
      <c r="E68" s="335">
        <f>(F16*'3.Personnel costs'!E11)+'2.Pretreatment costs'!G16</f>
        <v>0</v>
      </c>
      <c r="F68" s="119" t="e">
        <f>I25/D68</f>
        <v>#DIV/0!</v>
      </c>
      <c r="G68" s="318" t="e">
        <f t="shared" si="3"/>
        <v>#DIV/0!</v>
      </c>
      <c r="H68" s="318">
        <f>E44*'3.Personnel costs'!E20</f>
        <v>0</v>
      </c>
      <c r="I68" s="339" t="e">
        <f t="shared" si="5"/>
        <v>#DIV/0!</v>
      </c>
      <c r="J68" s="119" t="e">
        <f t="shared" si="4"/>
        <v>#DIV/0!</v>
      </c>
      <c r="K68" s="109"/>
      <c r="L68" s="25"/>
      <c r="M68" s="142"/>
      <c r="N68" s="141"/>
    </row>
    <row r="69" spans="2:14" x14ac:dyDescent="0.2">
      <c r="B69" s="136"/>
      <c r="C69" s="120" t="s">
        <v>38</v>
      </c>
      <c r="D69" s="119">
        <f>'1.Raw material purchasing cost'!J14</f>
        <v>0</v>
      </c>
      <c r="E69" s="335">
        <f>(F17*'3.Personnel costs'!E11)+'2.Pretreatment costs'!G17</f>
        <v>0</v>
      </c>
      <c r="F69" s="119"/>
      <c r="G69" s="318" t="e">
        <f t="shared" si="3"/>
        <v>#DIV/0!</v>
      </c>
      <c r="H69" s="318">
        <f>E45*'3.Personnel costs'!E20</f>
        <v>0</v>
      </c>
      <c r="I69" s="339" t="e">
        <f t="shared" si="5"/>
        <v>#DIV/0!</v>
      </c>
      <c r="J69" s="119" t="e">
        <f t="shared" si="4"/>
        <v>#DIV/0!</v>
      </c>
      <c r="K69" s="109"/>
      <c r="L69" s="24"/>
      <c r="M69" s="142"/>
      <c r="N69" s="141"/>
    </row>
    <row r="70" spans="2:14" ht="15" thickBot="1" x14ac:dyDescent="0.25">
      <c r="B70" s="136"/>
      <c r="C70" s="121" t="s">
        <v>64</v>
      </c>
      <c r="D70" s="119">
        <f>'1.Raw material purchasing cost'!E14</f>
        <v>0</v>
      </c>
      <c r="E70" s="335">
        <f>(F18*'3.Personnel costs'!E11)+'2.Pretreatment costs'!G18</f>
        <v>0</v>
      </c>
      <c r="F70" s="119"/>
      <c r="G70" s="318" t="e">
        <f t="shared" si="3"/>
        <v>#DIV/0!</v>
      </c>
      <c r="H70" s="318">
        <f>E46*'3.Personnel costs'!E20</f>
        <v>0</v>
      </c>
      <c r="I70" s="339" t="e">
        <f t="shared" si="5"/>
        <v>#DIV/0!</v>
      </c>
      <c r="J70" s="119" t="e">
        <f t="shared" si="4"/>
        <v>#DIV/0!</v>
      </c>
      <c r="K70" s="109"/>
      <c r="L70" s="24"/>
      <c r="M70" s="142"/>
      <c r="N70" s="141"/>
    </row>
    <row r="71" spans="2:14" ht="16.5" thickTop="1" thickBot="1" x14ac:dyDescent="0.3">
      <c r="B71" s="136"/>
      <c r="C71" s="122" t="s">
        <v>5</v>
      </c>
      <c r="D71" s="123"/>
      <c r="E71" s="123"/>
      <c r="F71" s="123"/>
      <c r="G71" s="123"/>
      <c r="H71" s="123"/>
      <c r="J71" s="124" t="e">
        <f>SUM(J58:J70)</f>
        <v>#DIV/0!</v>
      </c>
      <c r="K71" s="109"/>
      <c r="L71" s="38"/>
      <c r="M71" s="142"/>
      <c r="N71" s="141"/>
    </row>
    <row r="72" spans="2:14" ht="15.75" thickTop="1" thickBot="1" x14ac:dyDescent="0.25">
      <c r="B72" s="143"/>
      <c r="C72" s="144"/>
      <c r="D72" s="145"/>
      <c r="E72" s="144"/>
      <c r="F72" s="144"/>
      <c r="G72" s="144"/>
      <c r="H72" s="144"/>
      <c r="I72" s="144"/>
      <c r="J72" s="144"/>
      <c r="K72" s="145"/>
      <c r="L72" s="146"/>
      <c r="M72" s="147"/>
      <c r="N72" s="148"/>
    </row>
    <row r="73" spans="2:14" ht="15" thickTop="1" x14ac:dyDescent="0.2"/>
    <row r="77" spans="2:14" x14ac:dyDescent="0.2">
      <c r="C77" s="258"/>
      <c r="D77" s="20"/>
      <c r="E77" s="258"/>
    </row>
    <row r="78" spans="2:14" x14ac:dyDescent="0.2">
      <c r="C78" s="258"/>
      <c r="D78" s="20"/>
      <c r="E78" s="258"/>
    </row>
    <row r="79" spans="2:14" x14ac:dyDescent="0.2">
      <c r="C79" s="258"/>
      <c r="D79" s="20"/>
      <c r="E79" s="258"/>
      <c r="F79" s="258"/>
      <c r="G79" s="258"/>
      <c r="H79" s="258"/>
    </row>
    <row r="80" spans="2:14" x14ac:dyDescent="0.2">
      <c r="C80" s="240"/>
      <c r="D80" s="20"/>
      <c r="E80" s="258"/>
      <c r="F80" s="258"/>
      <c r="G80" s="258"/>
      <c r="H80" s="258"/>
    </row>
    <row r="81" spans="3:5" x14ac:dyDescent="0.2">
      <c r="C81" s="240"/>
      <c r="D81" s="20"/>
      <c r="E81" s="258"/>
    </row>
    <row r="82" spans="3:5" x14ac:dyDescent="0.2">
      <c r="C82" s="240"/>
      <c r="D82" s="20"/>
      <c r="E82" s="258"/>
    </row>
    <row r="83" spans="3:5" x14ac:dyDescent="0.2">
      <c r="C83" s="240"/>
      <c r="D83" s="20"/>
      <c r="E83" s="258"/>
    </row>
    <row r="84" spans="3:5" x14ac:dyDescent="0.2">
      <c r="C84" s="240"/>
      <c r="D84" s="20"/>
      <c r="E84" s="258"/>
    </row>
    <row r="85" spans="3:5" x14ac:dyDescent="0.2">
      <c r="C85" s="240"/>
      <c r="D85" s="20"/>
      <c r="E85" s="258"/>
    </row>
    <row r="86" spans="3:5" x14ac:dyDescent="0.2">
      <c r="C86" s="258"/>
      <c r="D86" s="20"/>
      <c r="E86" s="258"/>
    </row>
    <row r="87" spans="3:5" x14ac:dyDescent="0.2">
      <c r="C87" s="258"/>
      <c r="D87" s="20"/>
      <c r="E87" s="258"/>
    </row>
    <row r="88" spans="3:5" x14ac:dyDescent="0.2">
      <c r="C88" s="258"/>
      <c r="D88" s="20"/>
      <c r="E88" s="258"/>
    </row>
    <row r="89" spans="3:5" x14ac:dyDescent="0.2">
      <c r="C89" s="258"/>
      <c r="D89" s="20"/>
      <c r="E89" s="258"/>
    </row>
    <row r="90" spans="3:5" x14ac:dyDescent="0.2">
      <c r="C90" s="258"/>
      <c r="D90" s="20"/>
      <c r="E90" s="258"/>
    </row>
    <row r="91" spans="3:5" x14ac:dyDescent="0.2">
      <c r="C91" s="258"/>
      <c r="D91" s="20"/>
      <c r="E91" s="258"/>
    </row>
  </sheetData>
  <mergeCells count="16">
    <mergeCell ref="B2:O2"/>
    <mergeCell ref="B4:O4"/>
    <mergeCell ref="C54:C56"/>
    <mergeCell ref="C11:C12"/>
    <mergeCell ref="I54:I55"/>
    <mergeCell ref="C23:C24"/>
    <mergeCell ref="D54:D56"/>
    <mergeCell ref="E54:E56"/>
    <mergeCell ref="J54:J55"/>
    <mergeCell ref="D11:E11"/>
    <mergeCell ref="F11:G11"/>
    <mergeCell ref="C39:C40"/>
    <mergeCell ref="D23:F23"/>
    <mergeCell ref="F54:H55"/>
    <mergeCell ref="G23:I23"/>
    <mergeCell ref="C28:C29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opLeftCell="A19" zoomScale="90" zoomScaleNormal="90" workbookViewId="0">
      <selection activeCell="C9" sqref="C9"/>
    </sheetView>
  </sheetViews>
  <sheetFormatPr baseColWidth="10" defaultRowHeight="15" x14ac:dyDescent="0.25"/>
  <cols>
    <col min="1" max="1" width="14.85546875" bestFit="1" customWidth="1"/>
    <col min="2" max="2" width="4.85546875" customWidth="1"/>
    <col min="3" max="3" width="22" bestFit="1" customWidth="1"/>
    <col min="6" max="6" width="11.42578125" customWidth="1"/>
    <col min="7" max="7" width="15.7109375" customWidth="1"/>
    <col min="9" max="9" width="4.85546875" customWidth="1"/>
  </cols>
  <sheetData>
    <row r="1" spans="1:16" s="10" customFormat="1" thickBot="1" x14ac:dyDescent="0.25"/>
    <row r="2" spans="1:16" s="30" customFormat="1" ht="51.75" customHeight="1" thickTop="1" thickBot="1" x14ac:dyDescent="0.3">
      <c r="B2" s="504" t="s">
        <v>46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</row>
    <row r="3" spans="1:16" s="30" customFormat="1" ht="36.75" customHeight="1" thickTop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6" s="30" customFormat="1" ht="20.25" x14ac:dyDescent="0.25">
      <c r="B4" s="512" t="s">
        <v>65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</row>
    <row r="5" spans="1:16" s="30" customFormat="1" ht="20.25" x14ac:dyDescent="0.2">
      <c r="B5" s="149"/>
      <c r="C5" s="149"/>
      <c r="D5" s="149"/>
      <c r="E5" s="149"/>
      <c r="F5" s="149"/>
      <c r="G5" s="149"/>
      <c r="H5" s="149"/>
      <c r="I5" s="258"/>
      <c r="J5" s="311"/>
      <c r="K5" s="311"/>
      <c r="L5" s="149"/>
      <c r="M5" s="149"/>
      <c r="N5" s="149"/>
      <c r="O5" s="149"/>
    </row>
    <row r="6" spans="1:16" s="30" customFormat="1" ht="27.75" customHeight="1" x14ac:dyDescent="0.25">
      <c r="B6" s="150" t="s">
        <v>102</v>
      </c>
      <c r="C6" s="150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1:16" s="30" customFormat="1" ht="12.75" customHeight="1" thickBot="1" x14ac:dyDescent="0.3">
      <c r="B7" s="150"/>
      <c r="C7" s="150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</row>
    <row r="8" spans="1:16" s="30" customFormat="1" ht="14.25" customHeight="1" thickTop="1" x14ac:dyDescent="0.25">
      <c r="B8" s="151"/>
      <c r="C8" s="152"/>
      <c r="D8" s="152"/>
      <c r="E8" s="152"/>
      <c r="F8" s="153"/>
      <c r="G8" s="149"/>
      <c r="H8" s="149"/>
      <c r="I8" s="149"/>
      <c r="J8" s="149"/>
      <c r="K8" s="149"/>
      <c r="L8" s="149"/>
      <c r="M8" s="149"/>
      <c r="N8" s="149"/>
      <c r="O8" s="149"/>
    </row>
    <row r="9" spans="1:16" x14ac:dyDescent="0.25">
      <c r="A9" s="5"/>
      <c r="B9" s="154"/>
      <c r="C9" s="161" t="s">
        <v>40</v>
      </c>
      <c r="D9" s="162" t="s">
        <v>44</v>
      </c>
      <c r="E9" s="11"/>
      <c r="F9" s="155"/>
      <c r="H9" s="548" t="s">
        <v>118</v>
      </c>
      <c r="I9" s="549"/>
      <c r="J9" s="549"/>
      <c r="K9" s="549"/>
      <c r="L9" s="549"/>
      <c r="M9" s="549"/>
      <c r="N9" s="549"/>
      <c r="O9" s="549"/>
      <c r="P9" s="549"/>
    </row>
    <row r="10" spans="1:16" ht="15.75" thickBot="1" x14ac:dyDescent="0.3">
      <c r="A10" s="5"/>
      <c r="B10" s="154"/>
      <c r="C10" s="161" t="s">
        <v>41</v>
      </c>
      <c r="D10" s="162" t="s">
        <v>42</v>
      </c>
      <c r="E10" s="11"/>
      <c r="F10" s="155"/>
      <c r="H10" s="549"/>
      <c r="I10" s="549"/>
      <c r="J10" s="549"/>
      <c r="K10" s="549"/>
      <c r="L10" s="549"/>
      <c r="M10" s="549"/>
      <c r="N10" s="549"/>
      <c r="O10" s="549"/>
      <c r="P10" s="549"/>
    </row>
    <row r="11" spans="1:16" ht="15.75" thickBot="1" x14ac:dyDescent="0.3">
      <c r="A11" s="5"/>
      <c r="B11" s="154"/>
      <c r="C11" s="163" t="s">
        <v>43</v>
      </c>
      <c r="D11" s="164" t="s">
        <v>20</v>
      </c>
      <c r="E11" s="114">
        <f>IF(E10=0,0,E9/E10)</f>
        <v>0</v>
      </c>
      <c r="F11" s="155"/>
    </row>
    <row r="12" spans="1:16" ht="15.75" thickBot="1" x14ac:dyDescent="0.3">
      <c r="A12" s="5"/>
      <c r="B12" s="156"/>
      <c r="C12" s="157"/>
      <c r="D12" s="157"/>
      <c r="E12" s="157"/>
      <c r="F12" s="158"/>
    </row>
    <row r="13" spans="1:16" ht="15.75" thickTop="1" x14ac:dyDescent="0.25"/>
    <row r="15" spans="1:16" x14ac:dyDescent="0.25">
      <c r="B15" s="150" t="s">
        <v>103</v>
      </c>
    </row>
    <row r="16" spans="1:16" ht="15.75" thickBot="1" x14ac:dyDescent="0.3"/>
    <row r="17" spans="2:9" ht="21" thickTop="1" x14ac:dyDescent="0.25">
      <c r="B17" s="151"/>
      <c r="C17" s="152"/>
      <c r="D17" s="152"/>
      <c r="E17" s="152"/>
      <c r="F17" s="153"/>
    </row>
    <row r="18" spans="2:9" x14ac:dyDescent="0.25">
      <c r="B18" s="154"/>
      <c r="C18" s="161" t="s">
        <v>40</v>
      </c>
      <c r="D18" s="162" t="s">
        <v>62</v>
      </c>
      <c r="E18" s="11"/>
      <c r="F18" s="155"/>
    </row>
    <row r="19" spans="2:9" ht="15.75" thickBot="1" x14ac:dyDescent="0.3">
      <c r="B19" s="154"/>
      <c r="C19" s="161" t="s">
        <v>41</v>
      </c>
      <c r="D19" s="162" t="s">
        <v>108</v>
      </c>
      <c r="E19" s="11"/>
      <c r="F19" s="155"/>
    </row>
    <row r="20" spans="2:9" ht="15.75" thickBot="1" x14ac:dyDescent="0.3">
      <c r="B20" s="154"/>
      <c r="C20" s="163" t="s">
        <v>43</v>
      </c>
      <c r="D20" s="164" t="s">
        <v>20</v>
      </c>
      <c r="E20" s="114">
        <f>IF(E19=0,0,E18/E19)</f>
        <v>0</v>
      </c>
      <c r="F20" s="155"/>
    </row>
    <row r="21" spans="2:9" ht="15.75" thickBot="1" x14ac:dyDescent="0.3">
      <c r="B21" s="156"/>
      <c r="C21" s="157"/>
      <c r="D21" s="157"/>
      <c r="E21" s="157"/>
      <c r="F21" s="158"/>
    </row>
    <row r="22" spans="2:9" ht="15.75" thickTop="1" x14ac:dyDescent="0.25"/>
    <row r="24" spans="2:9" x14ac:dyDescent="0.25">
      <c r="B24" s="150" t="s">
        <v>81</v>
      </c>
    </row>
    <row r="25" spans="2:9" ht="15.75" thickBot="1" x14ac:dyDescent="0.3"/>
    <row r="26" spans="2:9" ht="36" customHeight="1" thickTop="1" x14ac:dyDescent="0.25">
      <c r="B26" s="151"/>
      <c r="C26" s="152"/>
      <c r="D26" s="152"/>
      <c r="E26" s="260" t="s">
        <v>105</v>
      </c>
      <c r="F26" s="260" t="s">
        <v>106</v>
      </c>
      <c r="G26" s="260" t="s">
        <v>107</v>
      </c>
      <c r="H26" s="267"/>
      <c r="I26" s="268"/>
    </row>
    <row r="27" spans="2:9" x14ac:dyDescent="0.25">
      <c r="B27" s="154"/>
      <c r="C27" s="161" t="s">
        <v>40</v>
      </c>
      <c r="D27" s="162" t="s">
        <v>62</v>
      </c>
      <c r="E27" s="11"/>
      <c r="F27" s="11"/>
      <c r="G27" s="11"/>
      <c r="H27" s="269"/>
      <c r="I27" s="270"/>
    </row>
    <row r="28" spans="2:9" ht="15.75" thickBot="1" x14ac:dyDescent="0.3">
      <c r="B28" s="154"/>
      <c r="C28" s="161" t="s">
        <v>104</v>
      </c>
      <c r="D28" s="162" t="s">
        <v>16</v>
      </c>
      <c r="E28" s="11"/>
      <c r="F28" s="11"/>
      <c r="G28" s="11"/>
      <c r="H28" s="271"/>
      <c r="I28" s="155"/>
    </row>
    <row r="29" spans="2:9" ht="15.75" thickBot="1" x14ac:dyDescent="0.3">
      <c r="B29" s="154"/>
      <c r="C29" s="163" t="s">
        <v>2</v>
      </c>
      <c r="D29" s="264" t="s">
        <v>62</v>
      </c>
      <c r="E29" s="263">
        <f>E27*(E28/100)</f>
        <v>0</v>
      </c>
      <c r="F29" s="262">
        <f t="shared" ref="F29:G29" si="0">F27*(F28/100)</f>
        <v>0</v>
      </c>
      <c r="G29" s="265">
        <f t="shared" si="0"/>
        <v>0</v>
      </c>
      <c r="H29" s="266">
        <f>SUM(E29:G29)</f>
        <v>0</v>
      </c>
      <c r="I29" s="155"/>
    </row>
    <row r="30" spans="2:9" x14ac:dyDescent="0.25">
      <c r="B30" s="154"/>
      <c r="C30" s="161"/>
      <c r="D30" s="162"/>
      <c r="E30" s="261"/>
      <c r="F30" s="261"/>
      <c r="G30" s="261"/>
      <c r="H30" s="271"/>
      <c r="I30" s="155"/>
    </row>
    <row r="31" spans="2:9" ht="15.75" thickBot="1" x14ac:dyDescent="0.3">
      <c r="B31" s="156"/>
      <c r="C31" s="157"/>
      <c r="D31" s="157"/>
      <c r="E31" s="157"/>
      <c r="F31" s="157"/>
      <c r="G31" s="157"/>
      <c r="H31" s="157"/>
      <c r="I31" s="158"/>
    </row>
    <row r="32" spans="2:9" ht="15.75" thickTop="1" x14ac:dyDescent="0.25"/>
  </sheetData>
  <mergeCells count="3">
    <mergeCell ref="B2:O2"/>
    <mergeCell ref="B4:O4"/>
    <mergeCell ref="H9:P10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showGridLines="0" topLeftCell="A4" zoomScale="90" zoomScaleNormal="90" workbookViewId="0">
      <selection activeCell="D11" sqref="D11"/>
    </sheetView>
  </sheetViews>
  <sheetFormatPr baseColWidth="10" defaultRowHeight="14.25" x14ac:dyDescent="0.2"/>
  <cols>
    <col min="1" max="1" width="11.42578125" style="10"/>
    <col min="2" max="2" width="26.42578125" style="10" customWidth="1"/>
    <col min="3" max="5" width="11.42578125" style="10"/>
    <col min="6" max="6" width="12.7109375" style="10" customWidth="1"/>
    <col min="7" max="7" width="10.5703125" style="29" customWidth="1"/>
    <col min="8" max="9" width="11.42578125" style="10"/>
    <col min="10" max="10" width="14" style="10" bestFit="1" customWidth="1"/>
    <col min="11" max="11" width="22.42578125" style="10" bestFit="1" customWidth="1"/>
    <col min="12" max="12" width="14.7109375" style="10" bestFit="1" customWidth="1"/>
    <col min="13" max="16384" width="11.42578125" style="10"/>
  </cols>
  <sheetData>
    <row r="1" spans="2:15" ht="15" thickBot="1" x14ac:dyDescent="0.25">
      <c r="G1" s="10"/>
    </row>
    <row r="2" spans="2:15" s="30" customFormat="1" ht="51.75" customHeight="1" thickTop="1" thickBot="1" x14ac:dyDescent="0.3">
      <c r="B2" s="504" t="s">
        <v>46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</row>
    <row r="3" spans="2:15" s="30" customFormat="1" ht="36.75" customHeight="1" thickTop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15" s="30" customFormat="1" ht="20.25" x14ac:dyDescent="0.25">
      <c r="B4" s="512" t="s">
        <v>49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</row>
    <row r="6" spans="2:15" ht="18.75" thickBot="1" x14ac:dyDescent="0.3">
      <c r="B6" s="137" t="s">
        <v>39</v>
      </c>
      <c r="C6" s="80"/>
      <c r="D6" s="80"/>
      <c r="E6" s="80"/>
      <c r="F6" s="80"/>
      <c r="G6" s="165"/>
    </row>
    <row r="7" spans="2:15" ht="14.25" customHeight="1" thickTop="1" thickBot="1" x14ac:dyDescent="0.3">
      <c r="B7" s="553" t="s">
        <v>8</v>
      </c>
      <c r="C7" s="556" t="s">
        <v>22</v>
      </c>
      <c r="D7" s="562" t="s">
        <v>2</v>
      </c>
      <c r="E7" s="563"/>
      <c r="F7" s="563"/>
      <c r="G7" s="558" t="s">
        <v>13</v>
      </c>
      <c r="J7" s="550" t="s">
        <v>50</v>
      </c>
      <c r="K7" s="551"/>
      <c r="L7" s="552"/>
    </row>
    <row r="8" spans="2:15" ht="15" customHeight="1" thickBot="1" x14ac:dyDescent="0.3">
      <c r="B8" s="554"/>
      <c r="C8" s="557"/>
      <c r="D8" s="556" t="s">
        <v>12</v>
      </c>
      <c r="E8" s="556" t="s">
        <v>48</v>
      </c>
      <c r="F8" s="560" t="s">
        <v>26</v>
      </c>
      <c r="G8" s="559"/>
      <c r="J8" s="170" t="s">
        <v>12</v>
      </c>
      <c r="K8" s="171" t="s">
        <v>48</v>
      </c>
      <c r="L8" s="172" t="s">
        <v>26</v>
      </c>
    </row>
    <row r="9" spans="2:15" ht="21.75" customHeight="1" thickBot="1" x14ac:dyDescent="0.3">
      <c r="B9" s="554"/>
      <c r="C9" s="557"/>
      <c r="D9" s="557"/>
      <c r="E9" s="557"/>
      <c r="F9" s="561"/>
      <c r="G9" s="559"/>
      <c r="J9" s="167" t="e">
        <f>(D11*100)/G11</f>
        <v>#DIV/0!</v>
      </c>
      <c r="K9" s="168" t="e">
        <f>(E11*100)/G11</f>
        <v>#DIV/0!</v>
      </c>
      <c r="L9" s="169" t="e">
        <f>(F11*100)/G11</f>
        <v>#DIV/0!</v>
      </c>
    </row>
    <row r="10" spans="2:15" x14ac:dyDescent="0.2">
      <c r="B10" s="555"/>
      <c r="C10" s="233" t="s">
        <v>17</v>
      </c>
      <c r="D10" s="233" t="s">
        <v>18</v>
      </c>
      <c r="E10" s="233" t="s">
        <v>18</v>
      </c>
      <c r="F10" s="235" t="s">
        <v>18</v>
      </c>
      <c r="G10" s="234" t="s">
        <v>18</v>
      </c>
    </row>
    <row r="11" spans="2:15" ht="24.75" thickBot="1" x14ac:dyDescent="0.25">
      <c r="B11" s="166" t="s">
        <v>213</v>
      </c>
      <c r="C11" s="12">
        <f>'1.Raw material purchasing cost'!C9</f>
        <v>0</v>
      </c>
      <c r="D11" s="4" t="e">
        <f>'1.Raw material purchasing cost'!O15/C11</f>
        <v>#DIV/0!</v>
      </c>
      <c r="E11" s="3" t="e">
        <f>'2.Pretreatment costs'!J71/C11</f>
        <v>#DIV/0!</v>
      </c>
      <c r="F11" s="174" t="e">
        <f>'3.Personnel costs'!H29/C11</f>
        <v>#DIV/0!</v>
      </c>
      <c r="G11" s="175" t="e">
        <f>SUM(D11:F11)</f>
        <v>#DIV/0!</v>
      </c>
    </row>
    <row r="12" spans="2:15" ht="15" thickTop="1" x14ac:dyDescent="0.2"/>
    <row r="16" spans="2:15" x14ac:dyDescent="0.2">
      <c r="B16" s="258"/>
      <c r="C16" s="258"/>
      <c r="D16" s="258"/>
      <c r="E16" s="258"/>
      <c r="F16" s="258"/>
    </row>
    <row r="17" spans="2:2" x14ac:dyDescent="0.2">
      <c r="B17" s="258"/>
    </row>
    <row r="18" spans="2:2" x14ac:dyDescent="0.2">
      <c r="B18" s="258"/>
    </row>
    <row r="19" spans="2:2" x14ac:dyDescent="0.2">
      <c r="B19" s="258"/>
    </row>
    <row r="20" spans="2:2" x14ac:dyDescent="0.2">
      <c r="B20" s="258"/>
    </row>
    <row r="21" spans="2:2" x14ac:dyDescent="0.2">
      <c r="B21" s="258"/>
    </row>
    <row r="22" spans="2:2" x14ac:dyDescent="0.2">
      <c r="B22" s="258"/>
    </row>
    <row r="23" spans="2:2" x14ac:dyDescent="0.2">
      <c r="B23" s="258"/>
    </row>
    <row r="24" spans="2:2" x14ac:dyDescent="0.2">
      <c r="B24" s="258"/>
    </row>
  </sheetData>
  <mergeCells count="10">
    <mergeCell ref="B2:O2"/>
    <mergeCell ref="B4:O4"/>
    <mergeCell ref="J7:L7"/>
    <mergeCell ref="B7:B10"/>
    <mergeCell ref="C7:C9"/>
    <mergeCell ref="G7:G9"/>
    <mergeCell ref="E8:E9"/>
    <mergeCell ref="F8:F9"/>
    <mergeCell ref="D7:F7"/>
    <mergeCell ref="D8:D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topLeftCell="A4" workbookViewId="0">
      <selection activeCell="C18" sqref="C18"/>
    </sheetView>
  </sheetViews>
  <sheetFormatPr baseColWidth="10" defaultRowHeight="15" x14ac:dyDescent="0.25"/>
  <cols>
    <col min="1" max="1" width="11.85546875" customWidth="1"/>
    <col min="2" max="2" width="30" style="2" bestFit="1" customWidth="1"/>
    <col min="3" max="3" width="15.85546875" style="2" bestFit="1" customWidth="1"/>
    <col min="5" max="5" width="12.5703125" customWidth="1"/>
    <col min="6" max="6" width="12.5703125" bestFit="1" customWidth="1"/>
  </cols>
  <sheetData>
    <row r="1" spans="1:15" s="10" customFormat="1" thickBot="1" x14ac:dyDescent="0.25"/>
    <row r="2" spans="1:15" s="30" customFormat="1" ht="51.75" customHeight="1" thickTop="1" thickBot="1" x14ac:dyDescent="0.3">
      <c r="B2" s="504" t="s">
        <v>46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</row>
    <row r="3" spans="1:15" s="30" customFormat="1" ht="36.75" customHeight="1" thickTop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5" s="30" customFormat="1" ht="20.25" x14ac:dyDescent="0.25">
      <c r="B4" s="512" t="s">
        <v>71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</row>
    <row r="6" spans="1:15" s="18" customFormat="1" ht="12" x14ac:dyDescent="0.2">
      <c r="A6" s="21"/>
      <c r="B6" s="22"/>
      <c r="C6" s="22"/>
    </row>
    <row r="7" spans="1:15" ht="15.75" thickBot="1" x14ac:dyDescent="0.3">
      <c r="B7" s="108"/>
      <c r="C7" s="173"/>
      <c r="D7" s="173"/>
      <c r="E7" s="173"/>
      <c r="F7" s="273"/>
    </row>
    <row r="8" spans="1:15" ht="24" x14ac:dyDescent="0.25">
      <c r="B8" s="564" t="s">
        <v>3</v>
      </c>
      <c r="C8" s="19" t="s">
        <v>1</v>
      </c>
      <c r="D8" s="272" t="s">
        <v>76</v>
      </c>
      <c r="E8" s="220" t="s">
        <v>75</v>
      </c>
    </row>
    <row r="9" spans="1:15" ht="15.75" thickBot="1" x14ac:dyDescent="0.3">
      <c r="B9" s="565"/>
      <c r="C9" s="313" t="s">
        <v>6</v>
      </c>
      <c r="D9" s="314" t="s">
        <v>109</v>
      </c>
      <c r="E9" s="329" t="s">
        <v>62</v>
      </c>
    </row>
    <row r="10" spans="1:15" x14ac:dyDescent="0.25">
      <c r="B10" s="490" t="s">
        <v>214</v>
      </c>
      <c r="C10" s="327"/>
      <c r="D10" s="328"/>
      <c r="E10" s="330" t="e">
        <f>C10/D10</f>
        <v>#DIV/0!</v>
      </c>
    </row>
    <row r="11" spans="1:15" x14ac:dyDescent="0.25">
      <c r="B11" s="492" t="s">
        <v>215</v>
      </c>
      <c r="C11" s="489"/>
      <c r="D11" s="328"/>
      <c r="E11" s="330" t="e">
        <f>C11/D11</f>
        <v>#DIV/0!</v>
      </c>
    </row>
    <row r="12" spans="1:15" ht="15.75" thickBot="1" x14ac:dyDescent="0.3">
      <c r="B12" s="491" t="s">
        <v>216</v>
      </c>
      <c r="C12" s="327"/>
      <c r="D12" s="328"/>
      <c r="E12" s="331" t="e">
        <f>C12/D12</f>
        <v>#DIV/0!</v>
      </c>
    </row>
    <row r="13" spans="1:15" ht="15.75" thickBot="1" x14ac:dyDescent="0.3">
      <c r="B13" s="493"/>
      <c r="C13" s="494"/>
      <c r="D13" s="495"/>
      <c r="E13" s="332" t="e">
        <f>SUM(E10:E12)</f>
        <v>#DIV/0!</v>
      </c>
    </row>
  </sheetData>
  <mergeCells count="3">
    <mergeCell ref="B4:M4"/>
    <mergeCell ref="B8:B9"/>
    <mergeCell ref="B2:O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"/>
  <sheetViews>
    <sheetView showGridLines="0" workbookViewId="0">
      <selection activeCell="L10" sqref="L10"/>
    </sheetView>
  </sheetViews>
  <sheetFormatPr baseColWidth="10" defaultRowHeight="15" x14ac:dyDescent="0.25"/>
  <cols>
    <col min="2" max="2" width="15" bestFit="1" customWidth="1"/>
  </cols>
  <sheetData>
    <row r="1" spans="2:15" s="10" customFormat="1" thickBot="1" x14ac:dyDescent="0.25"/>
    <row r="2" spans="2:15" s="30" customFormat="1" ht="51.75" customHeight="1" thickTop="1" thickBot="1" x14ac:dyDescent="0.3">
      <c r="B2" s="504" t="s">
        <v>46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</row>
    <row r="3" spans="2:15" s="30" customFormat="1" ht="36.75" customHeight="1" thickTop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15" s="30" customFormat="1" ht="20.25" x14ac:dyDescent="0.25">
      <c r="B4" s="512" t="s">
        <v>72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</row>
    <row r="5" spans="2:15" ht="15.75" thickBot="1" x14ac:dyDescent="0.3"/>
    <row r="6" spans="2:15" ht="29.25" customHeight="1" thickBot="1" x14ac:dyDescent="0.3">
      <c r="B6" s="274" t="s">
        <v>74</v>
      </c>
      <c r="C6" s="275" t="s">
        <v>110</v>
      </c>
      <c r="D6" s="358"/>
      <c r="F6" s="566" t="s">
        <v>111</v>
      </c>
      <c r="G6" s="567"/>
      <c r="H6" s="567"/>
      <c r="I6" s="567"/>
      <c r="J6" s="567"/>
      <c r="K6" s="567"/>
      <c r="L6" s="568"/>
      <c r="M6" s="568"/>
      <c r="N6" s="568"/>
      <c r="O6" s="568"/>
    </row>
  </sheetData>
  <mergeCells count="3">
    <mergeCell ref="B2:O2"/>
    <mergeCell ref="B4:O4"/>
    <mergeCell ref="F6:O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showGridLines="0" topLeftCell="A4" workbookViewId="0">
      <selection activeCell="H11" sqref="H11"/>
    </sheetView>
  </sheetViews>
  <sheetFormatPr baseColWidth="10" defaultRowHeight="15" x14ac:dyDescent="0.25"/>
  <cols>
    <col min="2" max="2" width="2.85546875" customWidth="1"/>
    <col min="3" max="3" width="24.28515625" bestFit="1" customWidth="1"/>
    <col min="10" max="10" width="4.42578125" customWidth="1"/>
  </cols>
  <sheetData>
    <row r="1" spans="2:12" s="10" customFormat="1" thickBot="1" x14ac:dyDescent="0.25"/>
    <row r="2" spans="2:12" s="30" customFormat="1" ht="51.75" customHeight="1" thickTop="1" thickBot="1" x14ac:dyDescent="0.3">
      <c r="B2" s="504" t="s">
        <v>46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</row>
    <row r="3" spans="2:12" s="30" customFormat="1" ht="36.75" customHeight="1" thickTop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2" s="30" customFormat="1" ht="20.25" x14ac:dyDescent="0.25">
      <c r="B4" s="512" t="s">
        <v>73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</row>
    <row r="5" spans="2:12" ht="15.75" thickBot="1" x14ac:dyDescent="0.3"/>
    <row r="6" spans="2:12" s="7" customFormat="1" thickTop="1" x14ac:dyDescent="0.2">
      <c r="B6" s="188"/>
      <c r="C6" s="203"/>
      <c r="D6" s="204"/>
      <c r="E6" s="203"/>
      <c r="F6" s="204"/>
      <c r="G6" s="204"/>
      <c r="H6" s="189"/>
      <c r="I6" s="189"/>
      <c r="J6" s="191"/>
    </row>
    <row r="7" spans="2:12" s="7" customFormat="1" ht="15.75" thickBot="1" x14ac:dyDescent="0.3">
      <c r="B7" s="192"/>
      <c r="C7" s="205" t="s">
        <v>39</v>
      </c>
      <c r="D7" s="206"/>
      <c r="E7" s="207"/>
      <c r="F7" s="206"/>
      <c r="G7" s="206"/>
      <c r="H7" s="206"/>
      <c r="I7" s="206"/>
      <c r="J7" s="197"/>
    </row>
    <row r="8" spans="2:12" s="7" customFormat="1" ht="15" customHeight="1" x14ac:dyDescent="0.2">
      <c r="B8" s="192"/>
      <c r="C8" s="569" t="s">
        <v>8</v>
      </c>
      <c r="D8" s="570" t="s">
        <v>0</v>
      </c>
      <c r="E8" s="572" t="s">
        <v>79</v>
      </c>
      <c r="F8" s="572" t="s">
        <v>112</v>
      </c>
      <c r="G8" s="572" t="s">
        <v>75</v>
      </c>
      <c r="H8" s="575" t="s">
        <v>74</v>
      </c>
      <c r="I8" s="577" t="s">
        <v>58</v>
      </c>
      <c r="J8" s="197"/>
    </row>
    <row r="9" spans="2:12" s="7" customFormat="1" ht="33" customHeight="1" x14ac:dyDescent="0.2">
      <c r="B9" s="192"/>
      <c r="C9" s="569"/>
      <c r="D9" s="571"/>
      <c r="E9" s="573"/>
      <c r="F9" s="573"/>
      <c r="G9" s="574"/>
      <c r="H9" s="576"/>
      <c r="I9" s="578"/>
      <c r="J9" s="197"/>
    </row>
    <row r="10" spans="2:12" s="7" customFormat="1" ht="14.25" x14ac:dyDescent="0.2">
      <c r="B10" s="192"/>
      <c r="C10" s="569"/>
      <c r="D10" s="236" t="s">
        <v>17</v>
      </c>
      <c r="E10" s="237" t="s">
        <v>18</v>
      </c>
      <c r="F10" s="237" t="s">
        <v>18</v>
      </c>
      <c r="G10" s="237" t="s">
        <v>18</v>
      </c>
      <c r="H10" s="276" t="s">
        <v>18</v>
      </c>
      <c r="I10" s="238" t="s">
        <v>18</v>
      </c>
      <c r="J10" s="197"/>
    </row>
    <row r="11" spans="2:12" s="7" customFormat="1" ht="24.75" thickBot="1" x14ac:dyDescent="0.25">
      <c r="B11" s="192"/>
      <c r="C11" s="166" t="str">
        <f>'4.Production cost'!B11</f>
        <v>Include "Target Solid biomass type"</v>
      </c>
      <c r="D11" s="44">
        <f>'1.Raw material purchasing cost'!C9</f>
        <v>0</v>
      </c>
      <c r="E11" s="17" t="e">
        <f>'4.Production cost'!G11</f>
        <v>#DIV/0!</v>
      </c>
      <c r="F11" s="202"/>
      <c r="G11" s="312" t="e">
        <f>'5.Investment'!E13/'7.Minimum selling price'!D11</f>
        <v>#DIV/0!</v>
      </c>
      <c r="H11" s="218">
        <f>'6.Minimun profit'!D6</f>
        <v>0</v>
      </c>
      <c r="I11" s="219" t="e">
        <f>SUM(E11:H11)</f>
        <v>#DIV/0!</v>
      </c>
      <c r="J11" s="209"/>
    </row>
    <row r="12" spans="2:12" s="7" customFormat="1" thickBot="1" x14ac:dyDescent="0.25">
      <c r="B12" s="198"/>
      <c r="C12" s="210"/>
      <c r="D12" s="211"/>
      <c r="E12" s="210"/>
      <c r="F12" s="212"/>
      <c r="G12" s="212"/>
      <c r="H12" s="212"/>
      <c r="I12" s="212"/>
      <c r="J12" s="201"/>
    </row>
    <row r="13" spans="2:12" ht="15.75" thickTop="1" x14ac:dyDescent="0.25"/>
    <row r="14" spans="2:12" x14ac:dyDescent="0.25">
      <c r="C14" s="549" t="s">
        <v>124</v>
      </c>
      <c r="D14" s="549"/>
      <c r="E14" s="549"/>
      <c r="F14" s="549"/>
      <c r="G14" s="549"/>
      <c r="H14" s="549"/>
      <c r="I14" s="549"/>
      <c r="J14" s="549"/>
    </row>
    <row r="15" spans="2:12" x14ac:dyDescent="0.25">
      <c r="C15" s="549"/>
      <c r="D15" s="549"/>
      <c r="E15" s="549"/>
      <c r="F15" s="549"/>
      <c r="G15" s="549"/>
      <c r="H15" s="549"/>
      <c r="I15" s="549"/>
      <c r="J15" s="549"/>
    </row>
    <row r="16" spans="2:12" ht="13.5" customHeight="1" x14ac:dyDescent="0.25">
      <c r="C16" s="549"/>
      <c r="D16" s="549"/>
      <c r="E16" s="549"/>
      <c r="F16" s="549"/>
      <c r="G16" s="549"/>
      <c r="H16" s="549"/>
      <c r="I16" s="549"/>
      <c r="J16" s="549"/>
    </row>
    <row r="17" spans="3:10" ht="6" hidden="1" customHeight="1" x14ac:dyDescent="0.25">
      <c r="C17" s="549"/>
      <c r="D17" s="549"/>
      <c r="E17" s="549"/>
      <c r="F17" s="549"/>
      <c r="G17" s="549"/>
      <c r="H17" s="549"/>
      <c r="I17" s="549"/>
      <c r="J17" s="549"/>
    </row>
    <row r="18" spans="3:10" x14ac:dyDescent="0.25">
      <c r="C18" s="258"/>
    </row>
  </sheetData>
  <mergeCells count="10">
    <mergeCell ref="C14:J17"/>
    <mergeCell ref="B2:L2"/>
    <mergeCell ref="B4:L4"/>
    <mergeCell ref="C8:C10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2"/>
  <sheetViews>
    <sheetView showGridLines="0" topLeftCell="A34" zoomScale="90" zoomScaleNormal="90" workbookViewId="0">
      <selection activeCell="I41" sqref="I41"/>
    </sheetView>
  </sheetViews>
  <sheetFormatPr baseColWidth="10" defaultColWidth="11.42578125" defaultRowHeight="14.25" x14ac:dyDescent="0.2"/>
  <cols>
    <col min="1" max="1" width="11.42578125" style="7"/>
    <col min="2" max="2" width="4.5703125" style="7" customWidth="1"/>
    <col min="3" max="3" width="29.5703125" style="7" bestFit="1" customWidth="1"/>
    <col min="4" max="4" width="19" style="39" customWidth="1"/>
    <col min="5" max="5" width="20" style="7" customWidth="1"/>
    <col min="6" max="7" width="19.5703125" style="39" customWidth="1"/>
    <col min="8" max="8" width="19.140625" style="41" bestFit="1" customWidth="1"/>
    <col min="9" max="9" width="19.28515625" style="41" customWidth="1"/>
    <col min="10" max="10" width="14.140625" style="41" customWidth="1"/>
    <col min="11" max="11" width="2.7109375" style="7" customWidth="1"/>
    <col min="12" max="16384" width="11.42578125" style="7"/>
  </cols>
  <sheetData>
    <row r="1" spans="2:20" s="10" customFormat="1" ht="15" thickBot="1" x14ac:dyDescent="0.25"/>
    <row r="2" spans="2:20" s="30" customFormat="1" ht="51.75" customHeight="1" thickTop="1" thickBot="1" x14ac:dyDescent="0.3">
      <c r="B2" s="504" t="s">
        <v>46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</row>
    <row r="3" spans="2:20" s="30" customFormat="1" ht="36.75" customHeight="1" thickTop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2:20" s="30" customFormat="1" ht="20.25" x14ac:dyDescent="0.25">
      <c r="B4" s="512" t="s">
        <v>77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</row>
    <row r="5" spans="2:20" s="30" customFormat="1" ht="20.25" x14ac:dyDescent="0.25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2:20" s="30" customFormat="1" ht="20.25" x14ac:dyDescent="0.3">
      <c r="B6" s="78" t="s">
        <v>34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2:20" ht="15" thickBot="1" x14ac:dyDescent="0.25"/>
    <row r="8" spans="2:20" ht="15" thickTop="1" x14ac:dyDescent="0.2">
      <c r="B8" s="188"/>
      <c r="C8" s="75"/>
      <c r="D8" s="189"/>
      <c r="E8" s="75"/>
      <c r="F8" s="189"/>
      <c r="G8" s="189"/>
      <c r="H8" s="190"/>
      <c r="I8" s="190"/>
      <c r="J8" s="224"/>
    </row>
    <row r="9" spans="2:20" ht="15" x14ac:dyDescent="0.25">
      <c r="B9" s="192"/>
      <c r="C9" s="193" t="s">
        <v>78</v>
      </c>
      <c r="D9" s="194"/>
      <c r="E9" s="194"/>
      <c r="F9" s="194"/>
      <c r="G9" s="194"/>
      <c r="H9" s="194"/>
      <c r="I9" s="7"/>
      <c r="J9" s="197"/>
    </row>
    <row r="10" spans="2:20" ht="36" x14ac:dyDescent="0.25">
      <c r="B10" s="192"/>
      <c r="C10" s="195" t="s">
        <v>55</v>
      </c>
      <c r="D10" s="195" t="s">
        <v>121</v>
      </c>
      <c r="E10" s="195" t="s">
        <v>53</v>
      </c>
      <c r="F10" s="50" t="s">
        <v>122</v>
      </c>
      <c r="G10" s="195" t="s">
        <v>52</v>
      </c>
      <c r="H10" s="324" t="s">
        <v>126</v>
      </c>
      <c r="I10" s="7"/>
      <c r="J10" s="197"/>
    </row>
    <row r="11" spans="2:20" ht="15" x14ac:dyDescent="0.2">
      <c r="B11" s="192"/>
      <c r="C11" s="222" t="str">
        <f>'4.Production cost'!B11</f>
        <v>Include "Target Solid biomass type"</v>
      </c>
      <c r="D11" s="347"/>
      <c r="E11" s="348"/>
      <c r="F11" s="223">
        <f>'1.Raw material purchasing cost'!D13</f>
        <v>0</v>
      </c>
      <c r="G11" s="349">
        <f>D11*(1-0.01*F11)-(24.49/3600)*F11</f>
        <v>0</v>
      </c>
      <c r="H11" s="326" t="e">
        <f>'7.Minimum selling price'!I11/(G11*1000)</f>
        <v>#DIV/0!</v>
      </c>
      <c r="I11" s="7"/>
      <c r="J11" s="197"/>
    </row>
    <row r="12" spans="2:20" x14ac:dyDescent="0.2">
      <c r="B12" s="192"/>
      <c r="C12" s="71"/>
      <c r="D12" s="208"/>
      <c r="E12" s="71"/>
      <c r="F12" s="208"/>
      <c r="G12" s="208"/>
      <c r="H12" s="221"/>
      <c r="I12" s="221"/>
      <c r="J12" s="225"/>
    </row>
    <row r="13" spans="2:20" ht="15" x14ac:dyDescent="0.25">
      <c r="B13" s="192"/>
      <c r="C13" s="193" t="s">
        <v>24</v>
      </c>
      <c r="D13" s="194"/>
      <c r="E13" s="194"/>
      <c r="F13" s="194"/>
      <c r="G13" s="194"/>
      <c r="H13" s="194"/>
      <c r="I13" s="194"/>
      <c r="J13" s="226"/>
    </row>
    <row r="14" spans="2:20" ht="30.75" thickBot="1" x14ac:dyDescent="0.3">
      <c r="B14" s="192"/>
      <c r="C14" s="195" t="s">
        <v>55</v>
      </c>
      <c r="D14" s="195" t="s">
        <v>51</v>
      </c>
      <c r="E14" s="195" t="s">
        <v>125</v>
      </c>
      <c r="F14" s="195" t="s">
        <v>54</v>
      </c>
      <c r="G14" s="195" t="s">
        <v>53</v>
      </c>
      <c r="H14" s="195" t="s">
        <v>120</v>
      </c>
      <c r="I14" s="196" t="s">
        <v>80</v>
      </c>
      <c r="J14" s="197"/>
    </row>
    <row r="15" spans="2:20" ht="15" x14ac:dyDescent="0.25">
      <c r="B15" s="192"/>
      <c r="C15" s="344" t="s">
        <v>130</v>
      </c>
      <c r="D15" s="176"/>
      <c r="E15" s="177"/>
      <c r="F15" s="357" t="e">
        <f>D15/E15</f>
        <v>#DIV/0!</v>
      </c>
      <c r="G15" s="350"/>
      <c r="H15" s="178"/>
      <c r="I15" s="179" t="s">
        <v>56</v>
      </c>
      <c r="J15" s="277" t="str">
        <f>IF(I15="included", "Attention:Take the TAXES into account to compare it with the price of the final product", " ")</f>
        <v>Attention:Take the TAXES into account to compare it with the price of the final product</v>
      </c>
    </row>
    <row r="16" spans="2:20" ht="15" x14ac:dyDescent="0.25">
      <c r="B16" s="192"/>
      <c r="C16" s="345" t="s">
        <v>131</v>
      </c>
      <c r="D16" s="180"/>
      <c r="E16" s="181"/>
      <c r="F16" s="357" t="e">
        <f t="shared" ref="F16:F18" si="0">D16/E16</f>
        <v>#DIV/0!</v>
      </c>
      <c r="G16" s="351"/>
      <c r="H16" s="182"/>
      <c r="I16" s="183" t="s">
        <v>56</v>
      </c>
      <c r="J16" s="277" t="str">
        <f t="shared" ref="J16:J18" si="1">IF(I16="included", "Attention:Take the TAXES into account to compare it with the price of the final product", " ")</f>
        <v>Attention:Take the TAXES into account to compare it with the price of the final product</v>
      </c>
      <c r="T16" s="7" t="s">
        <v>56</v>
      </c>
    </row>
    <row r="17" spans="2:20" ht="15" x14ac:dyDescent="0.25">
      <c r="B17" s="192"/>
      <c r="C17" s="345" t="s">
        <v>132</v>
      </c>
      <c r="D17" s="180"/>
      <c r="E17" s="181"/>
      <c r="F17" s="357" t="e">
        <f t="shared" si="0"/>
        <v>#DIV/0!</v>
      </c>
      <c r="G17" s="351"/>
      <c r="H17" s="182"/>
      <c r="I17" s="183" t="s">
        <v>56</v>
      </c>
      <c r="J17" s="277" t="str">
        <f t="shared" si="1"/>
        <v>Attention:Take the TAXES into account to compare it with the price of the final product</v>
      </c>
      <c r="T17" s="7" t="s">
        <v>57</v>
      </c>
    </row>
    <row r="18" spans="2:20" ht="15.75" thickBot="1" x14ac:dyDescent="0.3">
      <c r="B18" s="192"/>
      <c r="C18" s="346" t="s">
        <v>133</v>
      </c>
      <c r="D18" s="184"/>
      <c r="E18" s="185"/>
      <c r="F18" s="357" t="e">
        <f t="shared" si="0"/>
        <v>#DIV/0!</v>
      </c>
      <c r="G18" s="352"/>
      <c r="H18" s="186"/>
      <c r="I18" s="187"/>
      <c r="J18" s="277" t="str">
        <f t="shared" si="1"/>
        <v xml:space="preserve"> </v>
      </c>
    </row>
    <row r="19" spans="2:20" ht="15" thickBot="1" x14ac:dyDescent="0.25">
      <c r="B19" s="198"/>
      <c r="C19" s="77"/>
      <c r="D19" s="199"/>
      <c r="E19" s="77"/>
      <c r="F19" s="199"/>
      <c r="G19" s="199"/>
      <c r="H19" s="200"/>
      <c r="I19" s="200"/>
      <c r="J19" s="227"/>
    </row>
    <row r="20" spans="2:20" ht="15" thickTop="1" x14ac:dyDescent="0.2"/>
    <row r="21" spans="2:20" ht="20.25" x14ac:dyDescent="0.3">
      <c r="B21" s="78"/>
    </row>
    <row r="22" spans="2:20" ht="15" thickBot="1" x14ac:dyDescent="0.25">
      <c r="C22" s="1"/>
      <c r="D22" s="40"/>
      <c r="E22" s="1"/>
      <c r="F22" s="40"/>
      <c r="G22" s="40"/>
      <c r="H22" s="39"/>
      <c r="I22" s="39"/>
      <c r="J22" s="39"/>
    </row>
    <row r="23" spans="2:20" ht="15" thickTop="1" x14ac:dyDescent="0.2">
      <c r="B23" s="188"/>
      <c r="C23" s="203"/>
      <c r="D23" s="204"/>
      <c r="E23" s="203"/>
      <c r="F23" s="204"/>
      <c r="G23" s="204"/>
      <c r="H23" s="189"/>
      <c r="I23" s="189"/>
      <c r="J23" s="278"/>
    </row>
    <row r="24" spans="2:20" ht="15" x14ac:dyDescent="0.25">
      <c r="B24" s="192"/>
      <c r="C24" s="205" t="s">
        <v>82</v>
      </c>
      <c r="D24" s="206"/>
      <c r="E24" s="207"/>
      <c r="F24" s="206"/>
      <c r="G24" s="206"/>
      <c r="H24" s="206"/>
      <c r="I24" s="206"/>
      <c r="J24" s="279"/>
    </row>
    <row r="25" spans="2:20" ht="14.25" customHeight="1" x14ac:dyDescent="0.2">
      <c r="B25" s="192"/>
      <c r="C25" s="579" t="s">
        <v>83</v>
      </c>
      <c r="D25" s="570" t="s">
        <v>94</v>
      </c>
      <c r="E25" s="572" t="s">
        <v>85</v>
      </c>
      <c r="F25" s="572" t="s">
        <v>84</v>
      </c>
      <c r="G25" s="572" t="s">
        <v>119</v>
      </c>
      <c r="H25" s="572" t="s">
        <v>113</v>
      </c>
      <c r="I25" s="572" t="s">
        <v>114</v>
      </c>
      <c r="J25" s="225"/>
    </row>
    <row r="26" spans="2:20" ht="26.25" customHeight="1" x14ac:dyDescent="0.2">
      <c r="B26" s="192"/>
      <c r="C26" s="580"/>
      <c r="D26" s="533"/>
      <c r="E26" s="581"/>
      <c r="F26" s="581"/>
      <c r="G26" s="582"/>
      <c r="H26" s="582"/>
      <c r="I26" s="582"/>
      <c r="J26" s="225"/>
    </row>
    <row r="27" spans="2:20" x14ac:dyDescent="0.2">
      <c r="B27" s="192"/>
      <c r="C27" s="8" t="str">
        <f>'4.Production cost'!B11</f>
        <v>Include "Target Solid biomass type"</v>
      </c>
      <c r="D27" s="44">
        <f>'1.Raw material purchasing cost'!C9</f>
        <v>0</v>
      </c>
      <c r="E27" s="202"/>
      <c r="F27" s="217" t="e">
        <f>'7.Minimum selling price'!I11</f>
        <v>#DIV/0!</v>
      </c>
      <c r="G27" s="217" t="e">
        <f>E27-F27</f>
        <v>#DIV/0!</v>
      </c>
      <c r="H27" s="217">
        <f>D27*E27</f>
        <v>0</v>
      </c>
      <c r="I27" s="217" t="e">
        <f>D27*G27</f>
        <v>#DIV/0!</v>
      </c>
      <c r="J27" s="209" t="e">
        <f>IF(G27&gt;0,"OK","PROBLEM")</f>
        <v>#DIV/0!</v>
      </c>
    </row>
    <row r="28" spans="2:20" ht="15" thickBot="1" x14ac:dyDescent="0.25">
      <c r="B28" s="198"/>
      <c r="C28" s="210"/>
      <c r="D28" s="211"/>
      <c r="E28" s="211"/>
      <c r="F28" s="211"/>
      <c r="G28" s="211"/>
      <c r="H28" s="211"/>
      <c r="I28" s="211"/>
      <c r="J28" s="280"/>
    </row>
    <row r="29" spans="2:20" ht="14.25" customHeight="1" thickTop="1" x14ac:dyDescent="0.2">
      <c r="H29" s="39"/>
      <c r="I29" s="39"/>
      <c r="J29" s="39"/>
    </row>
    <row r="30" spans="2:20" x14ac:dyDescent="0.2">
      <c r="B30" s="20"/>
      <c r="C30" s="20"/>
      <c r="H30" s="39"/>
      <c r="I30" s="39"/>
      <c r="J30" s="39"/>
    </row>
    <row r="31" spans="2:20" ht="15" x14ac:dyDescent="0.25">
      <c r="B31" s="259"/>
      <c r="C31" s="20"/>
      <c r="H31" s="39"/>
      <c r="I31" s="39"/>
      <c r="J31" s="39"/>
    </row>
    <row r="32" spans="2:20" ht="15" x14ac:dyDescent="0.25">
      <c r="B32" s="259"/>
      <c r="C32" s="455" t="s">
        <v>205</v>
      </c>
      <c r="D32" s="40"/>
      <c r="E32" s="1"/>
      <c r="F32" s="40"/>
      <c r="G32" s="359"/>
      <c r="H32" s="359"/>
      <c r="I32" s="359"/>
      <c r="J32" s="359"/>
      <c r="K32" s="359"/>
      <c r="L32" s="359"/>
    </row>
    <row r="33" spans="2:12" ht="14.25" customHeight="1" thickBot="1" x14ac:dyDescent="0.3">
      <c r="B33" s="259"/>
      <c r="C33" s="430"/>
      <c r="D33" s="40"/>
      <c r="E33" s="1"/>
      <c r="F33" s="40"/>
      <c r="G33" s="359"/>
      <c r="H33" s="359"/>
      <c r="I33" s="359"/>
      <c r="J33" s="359"/>
      <c r="K33" s="359"/>
      <c r="L33" s="359"/>
    </row>
    <row r="34" spans="2:12" x14ac:dyDescent="0.2">
      <c r="B34" s="258"/>
      <c r="C34" s="515" t="s">
        <v>135</v>
      </c>
      <c r="D34" s="456" t="s">
        <v>136</v>
      </c>
      <c r="E34" s="456" t="s">
        <v>137</v>
      </c>
      <c r="F34" s="456" t="s">
        <v>139</v>
      </c>
      <c r="G34" s="359"/>
      <c r="H34" s="496" t="s">
        <v>217</v>
      </c>
      <c r="I34" s="496" t="s">
        <v>219</v>
      </c>
      <c r="J34" s="359"/>
      <c r="K34" s="359"/>
      <c r="L34" s="359"/>
    </row>
    <row r="35" spans="2:12" ht="22.5" customHeight="1" thickBot="1" x14ac:dyDescent="0.25">
      <c r="B35" s="20"/>
      <c r="C35" s="516"/>
      <c r="D35" s="464" t="s">
        <v>206</v>
      </c>
      <c r="E35" s="457" t="s">
        <v>138</v>
      </c>
      <c r="F35" s="457" t="s">
        <v>140</v>
      </c>
      <c r="G35" s="359"/>
      <c r="H35" s="497">
        <v>14.5</v>
      </c>
      <c r="I35" s="359">
        <f>H35*1000/3600</f>
        <v>4.0277777777777777</v>
      </c>
      <c r="J35" s="359"/>
      <c r="K35" s="359"/>
      <c r="L35" s="359"/>
    </row>
    <row r="36" spans="2:12" ht="15.75" thickTop="1" thickBot="1" x14ac:dyDescent="0.25">
      <c r="C36" s="458" t="s">
        <v>141</v>
      </c>
      <c r="D36" s="459">
        <v>19.100000000000001</v>
      </c>
      <c r="E36" s="459">
        <v>0.3</v>
      </c>
      <c r="F36" s="459">
        <v>0.01</v>
      </c>
      <c r="G36" s="359"/>
      <c r="H36" s="496" t="s">
        <v>218</v>
      </c>
      <c r="I36" s="496" t="s">
        <v>219</v>
      </c>
      <c r="J36" s="359"/>
      <c r="K36" s="359"/>
      <c r="L36" s="359"/>
    </row>
    <row r="37" spans="2:12" ht="15" thickBot="1" x14ac:dyDescent="0.25">
      <c r="C37" s="460" t="s">
        <v>142</v>
      </c>
      <c r="D37" s="461">
        <v>19.2</v>
      </c>
      <c r="E37" s="461">
        <v>3</v>
      </c>
      <c r="F37" s="461">
        <v>0.01</v>
      </c>
      <c r="G37" s="359"/>
      <c r="H37" s="497">
        <v>3500</v>
      </c>
      <c r="I37" s="359">
        <f>H37*4.18/3600</f>
        <v>4.0638888888888882</v>
      </c>
      <c r="J37" s="359"/>
      <c r="K37" s="359"/>
      <c r="L37" s="359"/>
    </row>
    <row r="38" spans="2:12" ht="15" thickBot="1" x14ac:dyDescent="0.25">
      <c r="C38" s="460" t="s">
        <v>143</v>
      </c>
      <c r="D38" s="461">
        <v>17.600000000000001</v>
      </c>
      <c r="E38" s="461">
        <v>5</v>
      </c>
      <c r="F38" s="461">
        <v>0.4</v>
      </c>
      <c r="G38" s="359"/>
      <c r="H38" s="359"/>
      <c r="I38" s="359"/>
      <c r="J38" s="359"/>
      <c r="K38" s="359"/>
      <c r="L38" s="359"/>
    </row>
    <row r="39" spans="2:12" ht="15" thickBot="1" x14ac:dyDescent="0.25">
      <c r="C39" s="460" t="s">
        <v>160</v>
      </c>
      <c r="D39" s="461">
        <v>17.600000000000001</v>
      </c>
      <c r="E39" s="461">
        <v>5</v>
      </c>
      <c r="F39" s="461">
        <v>0.5</v>
      </c>
      <c r="G39" s="359"/>
      <c r="H39" s="359"/>
      <c r="I39" s="359"/>
      <c r="J39" s="359"/>
      <c r="K39" s="359"/>
      <c r="L39" s="359"/>
    </row>
    <row r="40" spans="2:12" ht="15" thickBot="1" x14ac:dyDescent="0.25">
      <c r="C40" s="460" t="s">
        <v>159</v>
      </c>
      <c r="D40" s="461">
        <v>16.5</v>
      </c>
      <c r="E40" s="461" t="s">
        <v>144</v>
      </c>
      <c r="F40" s="461">
        <v>0.02</v>
      </c>
      <c r="G40" s="359"/>
      <c r="H40" s="359"/>
      <c r="I40" s="359"/>
      <c r="J40" s="359"/>
      <c r="K40" s="359"/>
      <c r="L40" s="359"/>
    </row>
    <row r="41" spans="2:12" ht="15" thickBot="1" x14ac:dyDescent="0.25">
      <c r="C41" s="460" t="s">
        <v>145</v>
      </c>
      <c r="D41" s="461">
        <v>19</v>
      </c>
      <c r="E41" s="461" t="s">
        <v>146</v>
      </c>
      <c r="F41" s="461" t="s">
        <v>147</v>
      </c>
      <c r="G41" s="359"/>
      <c r="H41" s="359"/>
      <c r="I41" s="359"/>
      <c r="J41" s="359"/>
      <c r="K41" s="359"/>
      <c r="L41" s="359"/>
    </row>
    <row r="42" spans="2:12" ht="15" thickBot="1" x14ac:dyDescent="0.25">
      <c r="C42" s="460" t="s">
        <v>132</v>
      </c>
      <c r="D42" s="461" t="s">
        <v>148</v>
      </c>
      <c r="E42" s="461" t="s">
        <v>149</v>
      </c>
      <c r="F42" s="461" t="s">
        <v>150</v>
      </c>
      <c r="G42" s="359"/>
      <c r="H42" s="359"/>
      <c r="I42" s="359"/>
      <c r="J42" s="359"/>
      <c r="K42" s="359"/>
      <c r="L42" s="359"/>
    </row>
    <row r="43" spans="2:12" ht="15" thickBot="1" x14ac:dyDescent="0.25">
      <c r="C43" s="460" t="s">
        <v>151</v>
      </c>
      <c r="D43" s="461" t="s">
        <v>152</v>
      </c>
      <c r="E43" s="461" t="s">
        <v>153</v>
      </c>
      <c r="F43" s="461" t="s">
        <v>154</v>
      </c>
      <c r="G43" s="359"/>
      <c r="H43" s="359"/>
      <c r="I43" s="359"/>
      <c r="J43" s="359"/>
      <c r="K43" s="359"/>
      <c r="L43" s="359"/>
    </row>
    <row r="44" spans="2:12" ht="15" thickBot="1" x14ac:dyDescent="0.25">
      <c r="C44" s="460" t="s">
        <v>155</v>
      </c>
      <c r="D44" s="461" t="s">
        <v>156</v>
      </c>
      <c r="E44" s="461" t="s">
        <v>157</v>
      </c>
      <c r="F44" s="461" t="s">
        <v>158</v>
      </c>
      <c r="G44" s="359"/>
      <c r="H44" s="359"/>
      <c r="I44" s="359"/>
      <c r="J44" s="359"/>
      <c r="K44" s="359"/>
      <c r="L44" s="359"/>
    </row>
    <row r="45" spans="2:12" x14ac:dyDescent="0.2">
      <c r="H45" s="39"/>
      <c r="I45" s="39"/>
      <c r="J45" s="39"/>
    </row>
    <row r="46" spans="2:12" x14ac:dyDescent="0.2">
      <c r="H46" s="39"/>
      <c r="I46" s="39"/>
      <c r="J46" s="39"/>
    </row>
    <row r="47" spans="2:12" x14ac:dyDescent="0.2">
      <c r="H47" s="39"/>
      <c r="I47" s="39"/>
      <c r="J47" s="39"/>
    </row>
    <row r="48" spans="2:12" x14ac:dyDescent="0.2">
      <c r="H48" s="39"/>
      <c r="I48" s="39"/>
      <c r="J48" s="39"/>
    </row>
    <row r="49" spans="8:10" x14ac:dyDescent="0.2">
      <c r="H49" s="39"/>
      <c r="I49" s="39"/>
      <c r="J49" s="39"/>
    </row>
    <row r="50" spans="8:10" x14ac:dyDescent="0.2">
      <c r="H50" s="39"/>
      <c r="I50" s="39"/>
      <c r="J50" s="39"/>
    </row>
    <row r="51" spans="8:10" x14ac:dyDescent="0.2">
      <c r="H51" s="39"/>
      <c r="I51" s="39"/>
      <c r="J51" s="39"/>
    </row>
    <row r="52" spans="8:10" x14ac:dyDescent="0.2">
      <c r="H52" s="39"/>
      <c r="I52" s="39"/>
      <c r="J52" s="39"/>
    </row>
    <row r="53" spans="8:10" x14ac:dyDescent="0.2">
      <c r="H53" s="39"/>
      <c r="I53" s="39"/>
      <c r="J53" s="39"/>
    </row>
    <row r="54" spans="8:10" x14ac:dyDescent="0.2">
      <c r="H54" s="39"/>
      <c r="I54" s="39"/>
      <c r="J54" s="39"/>
    </row>
    <row r="55" spans="8:10" x14ac:dyDescent="0.2">
      <c r="H55" s="39"/>
      <c r="I55" s="39"/>
      <c r="J55" s="39"/>
    </row>
    <row r="56" spans="8:10" x14ac:dyDescent="0.2">
      <c r="H56" s="39"/>
      <c r="I56" s="39"/>
      <c r="J56" s="39"/>
    </row>
    <row r="57" spans="8:10" x14ac:dyDescent="0.2">
      <c r="H57" s="39"/>
      <c r="I57" s="39"/>
      <c r="J57" s="39"/>
    </row>
    <row r="58" spans="8:10" x14ac:dyDescent="0.2">
      <c r="H58" s="39"/>
      <c r="I58" s="39"/>
      <c r="J58" s="39"/>
    </row>
    <row r="59" spans="8:10" x14ac:dyDescent="0.2">
      <c r="H59" s="39"/>
      <c r="I59" s="39"/>
      <c r="J59" s="39"/>
    </row>
    <row r="60" spans="8:10" x14ac:dyDescent="0.2">
      <c r="H60" s="39"/>
      <c r="I60" s="39"/>
      <c r="J60" s="39"/>
    </row>
    <row r="61" spans="8:10" x14ac:dyDescent="0.2">
      <c r="H61" s="39"/>
      <c r="I61" s="39"/>
      <c r="J61" s="39"/>
    </row>
    <row r="62" spans="8:10" x14ac:dyDescent="0.2">
      <c r="H62" s="39"/>
      <c r="I62" s="39"/>
      <c r="J62" s="39"/>
    </row>
  </sheetData>
  <mergeCells count="10">
    <mergeCell ref="C34:C35"/>
    <mergeCell ref="C25:C26"/>
    <mergeCell ref="E25:E26"/>
    <mergeCell ref="F25:F26"/>
    <mergeCell ref="B2:M2"/>
    <mergeCell ref="B4:M4"/>
    <mergeCell ref="G25:G26"/>
    <mergeCell ref="H25:H26"/>
    <mergeCell ref="I25:I26"/>
    <mergeCell ref="D25:D26"/>
  </mergeCells>
  <dataValidations count="1">
    <dataValidation type="list" allowBlank="1" showInputMessage="1" showErrorMessage="1" sqref="I11:J11 I15:I18">
      <formula1>$T$16:$T$17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1.Raw material purchasing cost</vt:lpstr>
      <vt:lpstr>1.1Only for agro-pellet product</vt:lpstr>
      <vt:lpstr>2.Pretreatment costs</vt:lpstr>
      <vt:lpstr>3.Personnel costs</vt:lpstr>
      <vt:lpstr>4.Production cost</vt:lpstr>
      <vt:lpstr>5.Investment</vt:lpstr>
      <vt:lpstr>6.Minimun profit</vt:lpstr>
      <vt:lpstr>7.Minimum selling price</vt:lpstr>
      <vt:lpstr>8.Evaluation of competitiveness</vt:lpstr>
      <vt:lpstr>9.Profit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Cosette Khawaja</dc:creator>
  <cp:lastModifiedBy>Eva López Hernandez</cp:lastModifiedBy>
  <cp:lastPrinted>2015-12-04T13:05:34Z</cp:lastPrinted>
  <dcterms:created xsi:type="dcterms:W3CDTF">2015-04-08T09:37:09Z</dcterms:created>
  <dcterms:modified xsi:type="dcterms:W3CDTF">2016-04-04T10:17:39Z</dcterms:modified>
</cp:coreProperties>
</file>